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ms-excel.sheet.macroEnabled.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ustomProperty1.bin" ContentType="application/vnd.openxmlformats-officedocument.spreadsheetml.customProperty"/>
  <Override PartName="/xl/drawings/drawing2.xml" ContentType="application/vnd.openxmlformats-officedocument.drawing+xml"/>
  <Override PartName="/xl/ctrlProps/ctrlProp1.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xl/vbaProject.bin" ContentType="application/vnd.ms-office.vbaProject"/>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codeName="{4D1C537B-E38A-612A-F078-A93A15B4B7F4}"/>
  <workbookPr codeName="ThisWorkbook" defaultThemeVersion="166925"/>
  <mc:AlternateContent xmlns:mc="http://schemas.openxmlformats.org/markup-compatibility/2006">
    <mc:Choice Requires="x15">
      <x15ac:absPath xmlns:x15ac="http://schemas.microsoft.com/office/spreadsheetml/2010/11/ac" url="https://svbank-my.sharepoint.com/personal/dclayton_svb_com/Documents/Desktop/Temp Desktop Files/Portfolio Construction Model/"/>
    </mc:Choice>
  </mc:AlternateContent>
  <xr:revisionPtr revIDLastSave="1898" documentId="13_ncr:1_{D319FE02-4047-4260-962B-0D11A27E5349}" xr6:coauthVersionLast="46" xr6:coauthVersionMax="46" xr10:uidLastSave="{98E11361-99B1-470A-9631-9BE707751812}"/>
  <bookViews>
    <workbookView xWindow="-120" yWindow="-120" windowWidth="29040" windowHeight="15840" xr2:uid="{E0CC5293-3B09-4DDD-8152-F5B89E161264}"/>
  </bookViews>
  <sheets>
    <sheet name="Instructions" sheetId="3" r:id="rId1"/>
    <sheet name="Model" sheetId="1" r:id="rId2"/>
    <sheet name="Cash Flows" sheetId="2" r:id="rId3"/>
  </sheets>
  <definedNames>
    <definedName name="CIQWBGuid" hidden="1">"30086a5d-5046-44bf-a7c2-aee446fdf564"</definedName>
    <definedName name="IQ_CH">110000</definedName>
    <definedName name="IQ_CQ">5000</definedName>
    <definedName name="IQ_CY">10000</definedName>
    <definedName name="IQ_DAILY">500000</definedName>
    <definedName name="IQ_DNTM" hidden="1">700000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MTD" hidden="1">800000</definedName>
    <definedName name="IQ_NAMES_REVISION_DATE_" hidden="1">44371.1058333333</definedName>
    <definedName name="IQ_NTM">6000</definedName>
    <definedName name="IQ_QTD" hidden="1">750000</definedName>
    <definedName name="IQ_TODAY" hidden="1">0</definedName>
    <definedName name="IQ_WEEK">50000</definedName>
    <definedName name="IQ_YTD">3000</definedName>
    <definedName name="IQ_YTDMONTH" hidden="1">130000</definedName>
  </definedNames>
  <calcPr calcId="191029" iterate="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K105" i="1" l="1"/>
  <c r="BB105" i="1"/>
  <c r="AS105" i="1"/>
  <c r="AJ105" i="1"/>
  <c r="AA105" i="1"/>
  <c r="BK104" i="1"/>
  <c r="BB104" i="1"/>
  <c r="AS104" i="1"/>
  <c r="AJ104" i="1"/>
  <c r="AA104" i="1"/>
  <c r="BK103" i="1"/>
  <c r="BB103" i="1"/>
  <c r="AS103" i="1"/>
  <c r="AJ103" i="1"/>
  <c r="AA103" i="1"/>
  <c r="BK102" i="1"/>
  <c r="BB102" i="1"/>
  <c r="AS102" i="1"/>
  <c r="AJ102" i="1"/>
  <c r="AA102" i="1"/>
  <c r="BK101" i="1"/>
  <c r="BB101" i="1"/>
  <c r="AS101" i="1"/>
  <c r="AJ101" i="1"/>
  <c r="AA101" i="1"/>
  <c r="BK100" i="1"/>
  <c r="BB100" i="1"/>
  <c r="AS100" i="1"/>
  <c r="AJ100" i="1"/>
  <c r="AA100" i="1"/>
  <c r="BK99" i="1"/>
  <c r="BB99" i="1"/>
  <c r="AS99" i="1"/>
  <c r="AJ99" i="1"/>
  <c r="AA99" i="1"/>
  <c r="BK98" i="1"/>
  <c r="BB98" i="1"/>
  <c r="AS98" i="1"/>
  <c r="AJ98" i="1"/>
  <c r="AA98" i="1"/>
  <c r="BK97" i="1"/>
  <c r="BB97" i="1"/>
  <c r="AS97" i="1"/>
  <c r="AJ97" i="1"/>
  <c r="AA97" i="1"/>
  <c r="BK96" i="1"/>
  <c r="BB96" i="1"/>
  <c r="AS96" i="1"/>
  <c r="AJ96" i="1"/>
  <c r="AA96" i="1"/>
  <c r="BK95" i="1"/>
  <c r="BB95" i="1"/>
  <c r="AS95" i="1"/>
  <c r="AJ95" i="1"/>
  <c r="AA95" i="1"/>
  <c r="BK94" i="1"/>
  <c r="BB94" i="1"/>
  <c r="AS94" i="1"/>
  <c r="AJ94" i="1"/>
  <c r="AA94" i="1"/>
  <c r="BK93" i="1"/>
  <c r="BB93" i="1"/>
  <c r="AS93" i="1"/>
  <c r="AJ93" i="1"/>
  <c r="AA93" i="1"/>
  <c r="BK92" i="1"/>
  <c r="BB92" i="1"/>
  <c r="AS92" i="1"/>
  <c r="AJ92" i="1"/>
  <c r="AA92" i="1"/>
  <c r="BK91" i="1"/>
  <c r="BB91" i="1"/>
  <c r="AS91" i="1"/>
  <c r="AJ91" i="1"/>
  <c r="AA91" i="1"/>
  <c r="BK90" i="1"/>
  <c r="BB90" i="1"/>
  <c r="AS90" i="1"/>
  <c r="AJ90" i="1"/>
  <c r="AA90" i="1"/>
  <c r="BK89" i="1"/>
  <c r="BB89" i="1"/>
  <c r="AS89" i="1"/>
  <c r="AJ89" i="1"/>
  <c r="AA89" i="1"/>
  <c r="BK88" i="1"/>
  <c r="BB88" i="1"/>
  <c r="AS88" i="1"/>
  <c r="AJ88" i="1"/>
  <c r="AA88" i="1"/>
  <c r="BK87" i="1"/>
  <c r="BB87" i="1"/>
  <c r="AS87" i="1"/>
  <c r="AJ87" i="1"/>
  <c r="AA87" i="1"/>
  <c r="BK86" i="1"/>
  <c r="BB86" i="1"/>
  <c r="AS86" i="1"/>
  <c r="AJ86" i="1"/>
  <c r="AA86" i="1"/>
  <c r="BK85" i="1"/>
  <c r="BB85" i="1"/>
  <c r="AS85" i="1"/>
  <c r="AJ85" i="1"/>
  <c r="AA85" i="1"/>
  <c r="BK84" i="1"/>
  <c r="BB84" i="1"/>
  <c r="AS84" i="1"/>
  <c r="AJ84" i="1"/>
  <c r="AA84" i="1"/>
  <c r="BK83" i="1"/>
  <c r="BB83" i="1"/>
  <c r="AS83" i="1"/>
  <c r="AJ83" i="1"/>
  <c r="AA83" i="1"/>
  <c r="BK82" i="1"/>
  <c r="BB82" i="1"/>
  <c r="AS82" i="1"/>
  <c r="AJ82" i="1"/>
  <c r="AA82" i="1"/>
  <c r="BK81" i="1"/>
  <c r="BB81" i="1"/>
  <c r="AS81" i="1"/>
  <c r="AJ81" i="1"/>
  <c r="AA81" i="1"/>
  <c r="BK80" i="1"/>
  <c r="BB80" i="1"/>
  <c r="AS80" i="1"/>
  <c r="AJ80" i="1"/>
  <c r="AA80" i="1"/>
  <c r="BK79" i="1"/>
  <c r="BB79" i="1"/>
  <c r="AS79" i="1"/>
  <c r="AJ79" i="1"/>
  <c r="AA79" i="1"/>
  <c r="BK78" i="1"/>
  <c r="BB78" i="1"/>
  <c r="AS78" i="1"/>
  <c r="AJ78" i="1"/>
  <c r="AA78" i="1"/>
  <c r="BK77" i="1"/>
  <c r="BB77" i="1"/>
  <c r="AS77" i="1"/>
  <c r="AJ77" i="1"/>
  <c r="AA77" i="1"/>
  <c r="BK76" i="1"/>
  <c r="BB76" i="1"/>
  <c r="AS76" i="1"/>
  <c r="AJ76" i="1"/>
  <c r="AA76" i="1"/>
  <c r="BK75" i="1"/>
  <c r="BB75" i="1"/>
  <c r="AS75" i="1"/>
  <c r="AJ75" i="1"/>
  <c r="AA75" i="1"/>
  <c r="BK74" i="1"/>
  <c r="BB74" i="1"/>
  <c r="AS74" i="1"/>
  <c r="AJ74" i="1"/>
  <c r="AA74" i="1"/>
  <c r="BK73" i="1"/>
  <c r="BB73" i="1"/>
  <c r="AS73" i="1"/>
  <c r="AJ73" i="1"/>
  <c r="AA73" i="1"/>
  <c r="BK72" i="1"/>
  <c r="BB72" i="1"/>
  <c r="AS72" i="1"/>
  <c r="AJ72" i="1"/>
  <c r="AA72" i="1"/>
  <c r="BK71" i="1"/>
  <c r="BB71" i="1"/>
  <c r="AS71" i="1"/>
  <c r="AJ71" i="1"/>
  <c r="AA71" i="1"/>
  <c r="BK70" i="1"/>
  <c r="BB70" i="1"/>
  <c r="AS70" i="1"/>
  <c r="AJ70" i="1"/>
  <c r="AA70" i="1"/>
  <c r="BK69" i="1"/>
  <c r="BB69" i="1"/>
  <c r="AS69" i="1"/>
  <c r="AJ69" i="1"/>
  <c r="AA69" i="1"/>
  <c r="BK68" i="1"/>
  <c r="BB68" i="1"/>
  <c r="AS68" i="1"/>
  <c r="AJ68" i="1"/>
  <c r="AA68" i="1"/>
  <c r="BK67" i="1"/>
  <c r="BB67" i="1"/>
  <c r="AS67" i="1"/>
  <c r="AJ67" i="1"/>
  <c r="AA67" i="1"/>
  <c r="BK66" i="1"/>
  <c r="BB66" i="1"/>
  <c r="AS66" i="1"/>
  <c r="AJ66" i="1"/>
  <c r="AA66" i="1"/>
  <c r="BK65" i="1"/>
  <c r="BB65" i="1"/>
  <c r="AS65" i="1"/>
  <c r="AJ65" i="1"/>
  <c r="AA65" i="1"/>
  <c r="BK64" i="1"/>
  <c r="BB64" i="1"/>
  <c r="AS64" i="1"/>
  <c r="AJ64" i="1"/>
  <c r="AA64" i="1"/>
  <c r="BK63" i="1"/>
  <c r="BB63" i="1"/>
  <c r="AS63" i="1"/>
  <c r="AJ63" i="1"/>
  <c r="AA63" i="1"/>
  <c r="BK62" i="1"/>
  <c r="BB62" i="1"/>
  <c r="AS62" i="1"/>
  <c r="AJ62" i="1"/>
  <c r="AA62" i="1"/>
  <c r="BK61" i="1"/>
  <c r="BB61" i="1"/>
  <c r="AS61" i="1"/>
  <c r="AJ61" i="1"/>
  <c r="AA61" i="1"/>
  <c r="BK60" i="1"/>
  <c r="BB60" i="1"/>
  <c r="AS60" i="1"/>
  <c r="AJ60" i="1"/>
  <c r="AA60" i="1"/>
  <c r="BK59" i="1"/>
  <c r="BB59" i="1"/>
  <c r="AS59" i="1"/>
  <c r="AJ59" i="1"/>
  <c r="AA59" i="1"/>
  <c r="BK58" i="1"/>
  <c r="BB58" i="1"/>
  <c r="AS58" i="1"/>
  <c r="AJ58" i="1"/>
  <c r="AA58" i="1"/>
  <c r="BK57" i="1"/>
  <c r="BB57" i="1"/>
  <c r="AS57" i="1"/>
  <c r="AJ57" i="1"/>
  <c r="AA57" i="1"/>
  <c r="BK56" i="1"/>
  <c r="BB56" i="1"/>
  <c r="AS56" i="1"/>
  <c r="AJ56" i="1"/>
  <c r="AA56" i="1"/>
  <c r="BK55" i="1"/>
  <c r="BB55" i="1"/>
  <c r="AS55" i="1"/>
  <c r="AJ55" i="1"/>
  <c r="AA55" i="1"/>
  <c r="BK54" i="1"/>
  <c r="BB54" i="1"/>
  <c r="AS54" i="1"/>
  <c r="AJ54" i="1"/>
  <c r="AA54" i="1"/>
  <c r="BK53" i="1"/>
  <c r="BB53" i="1"/>
  <c r="AS53" i="1"/>
  <c r="AJ53" i="1"/>
  <c r="AA53" i="1"/>
  <c r="BK52" i="1"/>
  <c r="BB52" i="1"/>
  <c r="AS52" i="1"/>
  <c r="AJ52" i="1"/>
  <c r="AA52" i="1"/>
  <c r="BK51" i="1"/>
  <c r="BB51" i="1"/>
  <c r="AS51" i="1"/>
  <c r="AJ51" i="1"/>
  <c r="AA51" i="1"/>
  <c r="BK50" i="1"/>
  <c r="BB50" i="1"/>
  <c r="AS50" i="1"/>
  <c r="AJ50" i="1"/>
  <c r="AA50" i="1"/>
  <c r="BK49" i="1"/>
  <c r="BB49" i="1"/>
  <c r="AS49" i="1"/>
  <c r="AJ49" i="1"/>
  <c r="AA49" i="1"/>
  <c r="BK48" i="1"/>
  <c r="BB48" i="1"/>
  <c r="AS48" i="1"/>
  <c r="AJ48" i="1"/>
  <c r="AA48" i="1"/>
  <c r="BK47" i="1"/>
  <c r="BB47" i="1"/>
  <c r="AS47" i="1"/>
  <c r="AJ47" i="1"/>
  <c r="AA47" i="1"/>
  <c r="BK46" i="1"/>
  <c r="BB46" i="1"/>
  <c r="AS46" i="1"/>
  <c r="AJ46" i="1"/>
  <c r="AA46" i="1"/>
  <c r="BK45" i="1"/>
  <c r="BB45" i="1"/>
  <c r="AS45" i="1"/>
  <c r="AJ45" i="1"/>
  <c r="AA45" i="1"/>
  <c r="BK44" i="1"/>
  <c r="BB44" i="1"/>
  <c r="AS44" i="1"/>
  <c r="AJ44" i="1"/>
  <c r="AA44" i="1"/>
  <c r="BK43" i="1"/>
  <c r="BB43" i="1"/>
  <c r="AS43" i="1"/>
  <c r="AJ43" i="1"/>
  <c r="AA43" i="1"/>
  <c r="BK42" i="1"/>
  <c r="BB42" i="1"/>
  <c r="AS42" i="1"/>
  <c r="AJ42" i="1"/>
  <c r="AA42" i="1"/>
  <c r="BK41" i="1"/>
  <c r="BB41" i="1"/>
  <c r="AS41" i="1"/>
  <c r="AJ41" i="1"/>
  <c r="AA41" i="1"/>
  <c r="BK40" i="1"/>
  <c r="BB40" i="1"/>
  <c r="AS40" i="1"/>
  <c r="AJ40" i="1"/>
  <c r="AA40" i="1"/>
  <c r="BK39" i="1"/>
  <c r="BB39" i="1"/>
  <c r="AS39" i="1"/>
  <c r="AJ39" i="1"/>
  <c r="AA39" i="1"/>
  <c r="BK38" i="1"/>
  <c r="BB38" i="1"/>
  <c r="AS38" i="1"/>
  <c r="AJ38" i="1"/>
  <c r="AA38" i="1"/>
  <c r="BK37" i="1"/>
  <c r="BB37" i="1"/>
  <c r="AS37" i="1"/>
  <c r="AJ37" i="1"/>
  <c r="AA37" i="1"/>
  <c r="BK36" i="1"/>
  <c r="BB36" i="1"/>
  <c r="AS36" i="1"/>
  <c r="AJ36" i="1"/>
  <c r="AA36" i="1"/>
  <c r="BK35" i="1"/>
  <c r="BB35" i="1"/>
  <c r="AS35" i="1"/>
  <c r="AJ35" i="1"/>
  <c r="AA35" i="1"/>
  <c r="BK34" i="1"/>
  <c r="BB34" i="1"/>
  <c r="AS34" i="1"/>
  <c r="AJ34" i="1"/>
  <c r="AA34" i="1"/>
  <c r="BK33" i="1"/>
  <c r="BB33" i="1"/>
  <c r="AS33" i="1"/>
  <c r="AJ33" i="1"/>
  <c r="AA33" i="1"/>
  <c r="BK32" i="1"/>
  <c r="BB32" i="1"/>
  <c r="AS32" i="1"/>
  <c r="AJ32" i="1"/>
  <c r="AA32" i="1"/>
  <c r="BK31" i="1"/>
  <c r="BB31" i="1"/>
  <c r="AS31" i="1"/>
  <c r="AJ31" i="1"/>
  <c r="AA31" i="1"/>
  <c r="BK30" i="1"/>
  <c r="BB30" i="1"/>
  <c r="AS30" i="1"/>
  <c r="AJ30" i="1"/>
  <c r="BK29" i="1"/>
  <c r="BB29" i="1"/>
  <c r="AS29" i="1"/>
  <c r="AJ29" i="1"/>
  <c r="BK28" i="1"/>
  <c r="BB28" i="1"/>
  <c r="AS28" i="1"/>
  <c r="AJ28" i="1"/>
  <c r="BK27" i="1"/>
  <c r="BB27" i="1"/>
  <c r="AS27" i="1"/>
  <c r="AJ27" i="1"/>
  <c r="BK26" i="1"/>
  <c r="BB26" i="1"/>
  <c r="AS26" i="1"/>
  <c r="AJ26" i="1"/>
  <c r="BK25" i="1"/>
  <c r="BB25" i="1"/>
  <c r="AS25" i="1"/>
  <c r="AJ25" i="1"/>
  <c r="BK24" i="1"/>
  <c r="BB24" i="1"/>
  <c r="AS24" i="1"/>
  <c r="AJ24" i="1"/>
  <c r="BK23" i="1"/>
  <c r="BB23" i="1"/>
  <c r="AS23" i="1"/>
  <c r="AJ23" i="1"/>
  <c r="BK22" i="1"/>
  <c r="BB22" i="1"/>
  <c r="AS22" i="1"/>
  <c r="AJ22" i="1"/>
  <c r="BK21" i="1"/>
  <c r="BB21" i="1"/>
  <c r="AS21" i="1"/>
  <c r="AJ21" i="1"/>
  <c r="BK20" i="1"/>
  <c r="BB20" i="1"/>
  <c r="AS20" i="1"/>
  <c r="AJ20" i="1"/>
  <c r="BK19" i="1"/>
  <c r="BB19" i="1"/>
  <c r="AS19" i="1"/>
  <c r="AJ19" i="1"/>
  <c r="BK18" i="1"/>
  <c r="BB18" i="1"/>
  <c r="AS18" i="1"/>
  <c r="AJ18" i="1"/>
  <c r="BK17" i="1"/>
  <c r="BB17" i="1"/>
  <c r="AS17" i="1"/>
  <c r="BK16" i="1"/>
  <c r="BB16" i="1"/>
  <c r="AS16" i="1"/>
  <c r="BK15" i="1"/>
  <c r="BB15" i="1"/>
  <c r="AS15" i="1"/>
  <c r="BK14" i="1"/>
  <c r="BB14" i="1"/>
  <c r="AS14" i="1"/>
  <c r="BK13" i="1"/>
  <c r="BB13" i="1"/>
  <c r="AS13" i="1"/>
  <c r="BK12" i="1"/>
  <c r="BB12" i="1"/>
  <c r="AS12" i="1"/>
  <c r="BK11" i="1"/>
  <c r="BB11" i="1"/>
  <c r="AS11" i="1"/>
  <c r="BK10" i="1"/>
  <c r="BB10" i="1"/>
  <c r="BK9" i="1"/>
  <c r="BB9" i="1"/>
  <c r="BK8" i="1"/>
  <c r="BB8" i="1"/>
  <c r="BK7" i="1"/>
  <c r="BB7" i="1"/>
  <c r="BK6" i="1"/>
  <c r="BB6" i="1"/>
  <c r="I6" i="1"/>
  <c r="BX8" i="2"/>
  <c r="D8" i="2"/>
  <c r="E8" i="2"/>
  <c r="F8" i="2"/>
  <c r="G8" i="2"/>
  <c r="H8" i="2"/>
  <c r="I8" i="2"/>
  <c r="J8" i="2"/>
  <c r="K8" i="2"/>
  <c r="L8" i="2"/>
  <c r="M8" i="2"/>
  <c r="N8" i="2"/>
  <c r="O8" i="2"/>
  <c r="P8" i="2"/>
  <c r="Q8" i="2"/>
  <c r="R8" i="2"/>
  <c r="S8" i="2"/>
  <c r="T8" i="2"/>
  <c r="U8" i="2"/>
  <c r="V8" i="2"/>
  <c r="W8" i="2"/>
  <c r="X8" i="2"/>
  <c r="Y8" i="2"/>
  <c r="Z8" i="2"/>
  <c r="AA8" i="2"/>
  <c r="AB8" i="2"/>
  <c r="AC8" i="2"/>
  <c r="AD8" i="2"/>
  <c r="AE8" i="2"/>
  <c r="AF8" i="2"/>
  <c r="AG8" i="2"/>
  <c r="AH8" i="2"/>
  <c r="AI8" i="2"/>
  <c r="AJ8" i="2"/>
  <c r="AK8" i="2"/>
  <c r="AL8" i="2"/>
  <c r="AM8" i="2"/>
  <c r="AN8" i="2"/>
  <c r="AO8" i="2"/>
  <c r="AP8" i="2"/>
  <c r="AQ8" i="2"/>
  <c r="AR8" i="2"/>
  <c r="AS8" i="2"/>
  <c r="AT8" i="2"/>
  <c r="AU8" i="2"/>
  <c r="AV8" i="2"/>
  <c r="AW8" i="2"/>
  <c r="AX8" i="2"/>
  <c r="AY8" i="2"/>
  <c r="AZ8" i="2"/>
  <c r="BA8" i="2"/>
  <c r="BB8" i="2"/>
  <c r="BC8" i="2"/>
  <c r="BD8" i="2"/>
  <c r="BE8" i="2"/>
  <c r="BF8" i="2"/>
  <c r="BG8" i="2"/>
  <c r="BH8" i="2"/>
  <c r="BI8" i="2"/>
  <c r="BJ8" i="2"/>
  <c r="BK8" i="2"/>
  <c r="BL8" i="2"/>
  <c r="BM8" i="2"/>
  <c r="BN8" i="2"/>
  <c r="BO8" i="2"/>
  <c r="BP8" i="2"/>
  <c r="BQ8" i="2"/>
  <c r="BR8" i="2"/>
  <c r="BS8" i="2"/>
  <c r="BT8" i="2"/>
  <c r="BU8" i="2"/>
  <c r="BV8" i="2"/>
  <c r="BW8" i="2"/>
  <c r="C8" i="2"/>
  <c r="E7" i="2"/>
  <c r="F7" i="2"/>
  <c r="G7" i="2"/>
  <c r="H7" i="2"/>
  <c r="I7" i="2"/>
  <c r="J7" i="2"/>
  <c r="K7" i="2"/>
  <c r="L7" i="2"/>
  <c r="M7" i="2"/>
  <c r="N7" i="2"/>
  <c r="O7" i="2"/>
  <c r="P7" i="2"/>
  <c r="Q7" i="2"/>
  <c r="R7" i="2"/>
  <c r="S7" i="2"/>
  <c r="T7" i="2"/>
  <c r="U7" i="2"/>
  <c r="V7" i="2"/>
  <c r="W7" i="2"/>
  <c r="X7" i="2"/>
  <c r="Y7" i="2"/>
  <c r="Z7" i="2"/>
  <c r="AA7" i="2"/>
  <c r="AB7" i="2"/>
  <c r="AC7" i="2"/>
  <c r="AD7" i="2"/>
  <c r="AE7" i="2"/>
  <c r="AF7" i="2"/>
  <c r="AG7" i="2"/>
  <c r="AH7" i="2"/>
  <c r="AI7" i="2"/>
  <c r="AJ7" i="2"/>
  <c r="AK7" i="2"/>
  <c r="AL7" i="2"/>
  <c r="AM7" i="2"/>
  <c r="AN7" i="2"/>
  <c r="AO7" i="2"/>
  <c r="AP7" i="2"/>
  <c r="AQ7" i="2"/>
  <c r="AR7" i="2"/>
  <c r="AS7" i="2"/>
  <c r="AT7" i="2"/>
  <c r="AU7" i="2"/>
  <c r="AV7" i="2"/>
  <c r="AW7" i="2"/>
  <c r="AX7" i="2"/>
  <c r="AY7" i="2"/>
  <c r="AZ7" i="2"/>
  <c r="BA7" i="2"/>
  <c r="BB7" i="2"/>
  <c r="BC7" i="2"/>
  <c r="BD7" i="2"/>
  <c r="BE7" i="2"/>
  <c r="BF7" i="2"/>
  <c r="BG7" i="2"/>
  <c r="BH7" i="2"/>
  <c r="BI7" i="2"/>
  <c r="BJ7" i="2"/>
  <c r="BK7" i="2"/>
  <c r="BL7" i="2"/>
  <c r="BM7" i="2"/>
  <c r="BN7" i="2"/>
  <c r="BO7" i="2"/>
  <c r="BP7" i="2"/>
  <c r="BQ7" i="2"/>
  <c r="BR7" i="2"/>
  <c r="BS7" i="2"/>
  <c r="BT7" i="2"/>
  <c r="BU7" i="2"/>
  <c r="BV7" i="2"/>
  <c r="BW7" i="2"/>
  <c r="D7" i="2"/>
  <c r="D5" i="2"/>
  <c r="B25" i="2"/>
  <c r="B24" i="2"/>
  <c r="B23" i="2"/>
  <c r="C22" i="2"/>
  <c r="C6" i="2"/>
  <c r="BT5" i="2"/>
  <c r="BT6" i="2" s="1"/>
  <c r="BA5" i="2"/>
  <c r="BA6" i="2" s="1"/>
  <c r="AS5" i="2"/>
  <c r="AS6" i="2" s="1"/>
  <c r="C4" i="2"/>
  <c r="D4" i="2" s="1"/>
  <c r="E4" i="2" s="1"/>
  <c r="F4" i="2" s="1"/>
  <c r="BW2" i="2"/>
  <c r="BW5" i="2" s="1"/>
  <c r="BW6" i="2" s="1"/>
  <c r="BV2" i="2"/>
  <c r="BV5" i="2" s="1"/>
  <c r="BV6" i="2" s="1"/>
  <c r="BU2" i="2"/>
  <c r="BU5" i="2" s="1"/>
  <c r="BU6" i="2" s="1"/>
  <c r="BT2" i="2"/>
  <c r="BS2" i="2"/>
  <c r="BS5" i="2" s="1"/>
  <c r="BS6" i="2" s="1"/>
  <c r="BR2" i="2"/>
  <c r="BR5" i="2" s="1"/>
  <c r="BR6" i="2" s="1"/>
  <c r="BQ2" i="2"/>
  <c r="BQ5" i="2" s="1"/>
  <c r="BQ6" i="2" s="1"/>
  <c r="BP2" i="2"/>
  <c r="BP5" i="2" s="1"/>
  <c r="BP6" i="2" s="1"/>
  <c r="BO2" i="2"/>
  <c r="BO5" i="2" s="1"/>
  <c r="BO6" i="2" s="1"/>
  <c r="BN2" i="2"/>
  <c r="BN5" i="2" s="1"/>
  <c r="BN6" i="2" s="1"/>
  <c r="BM2" i="2"/>
  <c r="BM5" i="2" s="1"/>
  <c r="BM6" i="2" s="1"/>
  <c r="BL2" i="2"/>
  <c r="BL5" i="2" s="1"/>
  <c r="BL6" i="2" s="1"/>
  <c r="BK2" i="2"/>
  <c r="BK5" i="2" s="1"/>
  <c r="BK6" i="2" s="1"/>
  <c r="BJ2" i="2"/>
  <c r="BJ5" i="2" s="1"/>
  <c r="BJ6" i="2" s="1"/>
  <c r="BI2" i="2"/>
  <c r="BI5" i="2" s="1"/>
  <c r="BI6" i="2" s="1"/>
  <c r="BH2" i="2"/>
  <c r="BH5" i="2" s="1"/>
  <c r="BH6" i="2" s="1"/>
  <c r="BG2" i="2"/>
  <c r="BG5" i="2" s="1"/>
  <c r="BG6" i="2" s="1"/>
  <c r="BF2" i="2"/>
  <c r="BF5" i="2" s="1"/>
  <c r="BF6" i="2" s="1"/>
  <c r="BE2" i="2"/>
  <c r="BE5" i="2" s="1"/>
  <c r="BE6" i="2" s="1"/>
  <c r="BD2" i="2"/>
  <c r="BD5" i="2" s="1"/>
  <c r="BD6" i="2" s="1"/>
  <c r="BC2" i="2"/>
  <c r="BC5" i="2" s="1"/>
  <c r="BC6" i="2" s="1"/>
  <c r="BB2" i="2"/>
  <c r="BB5" i="2" s="1"/>
  <c r="BB6" i="2" s="1"/>
  <c r="BA2" i="2"/>
  <c r="AZ2" i="2"/>
  <c r="AZ5" i="2" s="1"/>
  <c r="AZ6" i="2" s="1"/>
  <c r="AY2" i="2"/>
  <c r="AY5" i="2" s="1"/>
  <c r="AY6" i="2" s="1"/>
  <c r="AX2" i="2"/>
  <c r="AX5" i="2" s="1"/>
  <c r="AX6" i="2" s="1"/>
  <c r="AW2" i="2"/>
  <c r="AW5" i="2" s="1"/>
  <c r="AW6" i="2" s="1"/>
  <c r="AV2" i="2"/>
  <c r="AV5" i="2" s="1"/>
  <c r="AV6" i="2" s="1"/>
  <c r="AU2" i="2"/>
  <c r="AU5" i="2" s="1"/>
  <c r="AU6" i="2" s="1"/>
  <c r="AT2" i="2"/>
  <c r="AT5" i="2" s="1"/>
  <c r="AT6" i="2" s="1"/>
  <c r="AS2" i="2"/>
  <c r="AR2" i="2"/>
  <c r="AR5" i="2" s="1"/>
  <c r="AR6" i="2" s="1"/>
  <c r="AQ2" i="2"/>
  <c r="AP2" i="2"/>
  <c r="AO2" i="2"/>
  <c r="AN2" i="2"/>
  <c r="AM2" i="2"/>
  <c r="AL2" i="2"/>
  <c r="AK2" i="2"/>
  <c r="AJ2" i="2"/>
  <c r="AI2" i="2"/>
  <c r="AH2" i="2"/>
  <c r="AG2" i="2"/>
  <c r="AF2" i="2"/>
  <c r="AE2" i="2"/>
  <c r="AD2" i="2"/>
  <c r="AC2" i="2"/>
  <c r="AB2" i="2"/>
  <c r="AA2" i="2"/>
  <c r="Z2" i="2"/>
  <c r="Y2" i="2"/>
  <c r="X2" i="2"/>
  <c r="W2" i="2"/>
  <c r="W5" i="2" s="1"/>
  <c r="W6" i="2" s="1"/>
  <c r="V2" i="2"/>
  <c r="V5" i="2" s="1"/>
  <c r="V6" i="2" s="1"/>
  <c r="U2" i="2"/>
  <c r="U5" i="2" s="1"/>
  <c r="U6" i="2" s="1"/>
  <c r="T2" i="2"/>
  <c r="T5" i="2" s="1"/>
  <c r="T6" i="2" s="1"/>
  <c r="S2" i="2"/>
  <c r="S5" i="2" s="1"/>
  <c r="S6" i="2" s="1"/>
  <c r="R2" i="2"/>
  <c r="R5" i="2" s="1"/>
  <c r="R6" i="2" s="1"/>
  <c r="Q2" i="2"/>
  <c r="Q5" i="2" s="1"/>
  <c r="Q6" i="2" s="1"/>
  <c r="P2" i="2"/>
  <c r="P5" i="2" s="1"/>
  <c r="P6" i="2" s="1"/>
  <c r="O2" i="2"/>
  <c r="O5" i="2" s="1"/>
  <c r="O6" i="2" s="1"/>
  <c r="N2" i="2"/>
  <c r="N5" i="2" s="1"/>
  <c r="N6" i="2" s="1"/>
  <c r="M2" i="2"/>
  <c r="M5" i="2" s="1"/>
  <c r="M6" i="2" s="1"/>
  <c r="L2" i="2"/>
  <c r="L5" i="2" s="1"/>
  <c r="L6" i="2" s="1"/>
  <c r="K2" i="2"/>
  <c r="K5" i="2" s="1"/>
  <c r="K6" i="2" s="1"/>
  <c r="J2" i="2"/>
  <c r="I2" i="2"/>
  <c r="I5" i="2" s="1"/>
  <c r="I6" i="2" s="1"/>
  <c r="H2" i="2"/>
  <c r="H5" i="2" s="1"/>
  <c r="H6" i="2" s="1"/>
  <c r="G2" i="2"/>
  <c r="G5" i="2" s="1"/>
  <c r="G6" i="2" s="1"/>
  <c r="F2" i="2"/>
  <c r="F5" i="2" s="1"/>
  <c r="F6" i="2" s="1"/>
  <c r="E2" i="2"/>
  <c r="E5" i="2" s="1"/>
  <c r="E6" i="2" s="1"/>
  <c r="D2" i="2"/>
  <c r="D6" i="2" s="1"/>
  <c r="CU105" i="1"/>
  <c r="CO105" i="1"/>
  <c r="CL105" i="1"/>
  <c r="CC105" i="1"/>
  <c r="BT105" i="1"/>
  <c r="BM105" i="1"/>
  <c r="BL105" i="1"/>
  <c r="AV105" i="1"/>
  <c r="AK105" i="1"/>
  <c r="Z105" i="1"/>
  <c r="CM105" i="1" s="1"/>
  <c r="K105" i="1"/>
  <c r="CU104" i="1"/>
  <c r="CO104" i="1"/>
  <c r="CN104" i="1"/>
  <c r="CL104" i="1"/>
  <c r="CC104" i="1"/>
  <c r="BT104" i="1"/>
  <c r="BL104" i="1"/>
  <c r="AV104" i="1"/>
  <c r="AK104" i="1"/>
  <c r="Z104" i="1"/>
  <c r="CM104" i="1" s="1"/>
  <c r="O104" i="1"/>
  <c r="CU103" i="1"/>
  <c r="CO103" i="1"/>
  <c r="CN103" i="1"/>
  <c r="CL103" i="1"/>
  <c r="CE103" i="1"/>
  <c r="CC103" i="1"/>
  <c r="BT103" i="1"/>
  <c r="BL103" i="1"/>
  <c r="BC103" i="1"/>
  <c r="AV103" i="1"/>
  <c r="AM103" i="1"/>
  <c r="AK103" i="1"/>
  <c r="Z103" i="1"/>
  <c r="CM103" i="1" s="1"/>
  <c r="O103" i="1"/>
  <c r="K103" i="1"/>
  <c r="CU102" i="1"/>
  <c r="CO102" i="1"/>
  <c r="CL102" i="1"/>
  <c r="CC102" i="1"/>
  <c r="BT102" i="1"/>
  <c r="BC102" i="1"/>
  <c r="AV102" i="1"/>
  <c r="Z102" i="1"/>
  <c r="CU101" i="1"/>
  <c r="CL101" i="1"/>
  <c r="CE101" i="1"/>
  <c r="CC101" i="1"/>
  <c r="BT101" i="1"/>
  <c r="Z101" i="1"/>
  <c r="CU100" i="1"/>
  <c r="CN100" i="1"/>
  <c r="CL100" i="1"/>
  <c r="CE100" i="1"/>
  <c r="CC100" i="1"/>
  <c r="BT100" i="1"/>
  <c r="BC100" i="1"/>
  <c r="AV100" i="1"/>
  <c r="AM100" i="1"/>
  <c r="AK100" i="1"/>
  <c r="Z100" i="1"/>
  <c r="CM100" i="1" s="1"/>
  <c r="K100" i="1"/>
  <c r="CU99" i="1"/>
  <c r="CO99" i="1"/>
  <c r="CN99" i="1"/>
  <c r="CL99" i="1"/>
  <c r="CE99" i="1"/>
  <c r="CC99" i="1"/>
  <c r="BT99" i="1"/>
  <c r="BL99" i="1"/>
  <c r="BC99" i="1"/>
  <c r="AV99" i="1"/>
  <c r="AM99" i="1"/>
  <c r="AK99" i="1"/>
  <c r="Z99" i="1"/>
  <c r="CM99" i="1" s="1"/>
  <c r="O99" i="1"/>
  <c r="K99" i="1"/>
  <c r="CU98" i="1"/>
  <c r="CO98" i="1"/>
  <c r="CN98" i="1"/>
  <c r="CL98" i="1"/>
  <c r="CC98" i="1"/>
  <c r="BT98" i="1"/>
  <c r="BL98" i="1"/>
  <c r="AV98" i="1"/>
  <c r="Z98" i="1"/>
  <c r="O98" i="1"/>
  <c r="CU97" i="1"/>
  <c r="CL97" i="1"/>
  <c r="CC97" i="1"/>
  <c r="BT97" i="1"/>
  <c r="BL97" i="1"/>
  <c r="Z97" i="1"/>
  <c r="BM97" i="1" s="1"/>
  <c r="O97" i="1"/>
  <c r="CU96" i="1"/>
  <c r="CL96" i="1"/>
  <c r="CC96" i="1"/>
  <c r="BT96" i="1"/>
  <c r="Z96" i="1"/>
  <c r="BN96" i="1" s="1"/>
  <c r="CU95" i="1"/>
  <c r="CL95" i="1"/>
  <c r="CC95" i="1"/>
  <c r="BT95" i="1"/>
  <c r="Z95" i="1"/>
  <c r="CN95" i="1" s="1"/>
  <c r="O95" i="1"/>
  <c r="CU94" i="1"/>
  <c r="CL94" i="1"/>
  <c r="CC94" i="1"/>
  <c r="BT94" i="1"/>
  <c r="Z94" i="1"/>
  <c r="CU93" i="1"/>
  <c r="CL93" i="1"/>
  <c r="CC93" i="1"/>
  <c r="BT93" i="1"/>
  <c r="Z93" i="1"/>
  <c r="CW93" i="1" s="1"/>
  <c r="CU92" i="1"/>
  <c r="CL92" i="1"/>
  <c r="CC92" i="1"/>
  <c r="BT92" i="1"/>
  <c r="Z92" i="1"/>
  <c r="CM92" i="1" s="1"/>
  <c r="CU91" i="1"/>
  <c r="CL91" i="1"/>
  <c r="CC91" i="1"/>
  <c r="BT91" i="1"/>
  <c r="Z91" i="1"/>
  <c r="CM91" i="1" s="1"/>
  <c r="CU90" i="1"/>
  <c r="CL90" i="1"/>
  <c r="CC90" i="1"/>
  <c r="BT90" i="1"/>
  <c r="Z90" i="1"/>
  <c r="CM90" i="1" s="1"/>
  <c r="CU89" i="1"/>
  <c r="CL89" i="1"/>
  <c r="CC89" i="1"/>
  <c r="BT89" i="1"/>
  <c r="Z89" i="1"/>
  <c r="CM89" i="1" s="1"/>
  <c r="CU88" i="1"/>
  <c r="CL88" i="1"/>
  <c r="CC88" i="1"/>
  <c r="BT88" i="1"/>
  <c r="Z88" i="1"/>
  <c r="CM88" i="1" s="1"/>
  <c r="CU87" i="1"/>
  <c r="CL87" i="1"/>
  <c r="CC87" i="1"/>
  <c r="BT87" i="1"/>
  <c r="Z87" i="1"/>
  <c r="CU86" i="1"/>
  <c r="CL86" i="1"/>
  <c r="CC86" i="1"/>
  <c r="BT86" i="1"/>
  <c r="BC86" i="1"/>
  <c r="Z86" i="1"/>
  <c r="BN86" i="1" s="1"/>
  <c r="CX85" i="1"/>
  <c r="CW85" i="1"/>
  <c r="CU85" i="1"/>
  <c r="CL85" i="1"/>
  <c r="CD85" i="1"/>
  <c r="CC85" i="1"/>
  <c r="BV85" i="1"/>
  <c r="BU85" i="1"/>
  <c r="BT85" i="1"/>
  <c r="BM85" i="1"/>
  <c r="AM85" i="1"/>
  <c r="AL85" i="1"/>
  <c r="AK85" i="1"/>
  <c r="AD85" i="1"/>
  <c r="AC85" i="1"/>
  <c r="Z85" i="1"/>
  <c r="BN85" i="1" s="1"/>
  <c r="CU84" i="1"/>
  <c r="CL84" i="1"/>
  <c r="CC84" i="1"/>
  <c r="BV84" i="1"/>
  <c r="BT84" i="1"/>
  <c r="AU84" i="1"/>
  <c r="Z84" i="1"/>
  <c r="CN84" i="1" s="1"/>
  <c r="K84" i="1"/>
  <c r="CX83" i="1"/>
  <c r="CU83" i="1"/>
  <c r="CL83" i="1"/>
  <c r="CC83" i="1"/>
  <c r="BT83" i="1"/>
  <c r="AT83" i="1"/>
  <c r="AD83" i="1"/>
  <c r="Z83" i="1"/>
  <c r="CX82" i="1"/>
  <c r="CU82" i="1"/>
  <c r="CL82" i="1"/>
  <c r="CC82" i="1"/>
  <c r="BT82" i="1"/>
  <c r="Z82" i="1"/>
  <c r="CU81" i="1"/>
  <c r="CL81" i="1"/>
  <c r="CC81" i="1"/>
  <c r="BV81" i="1"/>
  <c r="BT81" i="1"/>
  <c r="AU81" i="1"/>
  <c r="Z81" i="1"/>
  <c r="CW81" i="1" s="1"/>
  <c r="CX80" i="1"/>
  <c r="CU80" i="1"/>
  <c r="CL80" i="1"/>
  <c r="CC80" i="1"/>
  <c r="BT80" i="1"/>
  <c r="AU80" i="1"/>
  <c r="AT80" i="1"/>
  <c r="Z80" i="1"/>
  <c r="CU79" i="1"/>
  <c r="CL79" i="1"/>
  <c r="CC79" i="1"/>
  <c r="BV79" i="1"/>
  <c r="BT79" i="1"/>
  <c r="Z79" i="1"/>
  <c r="CX78" i="1"/>
  <c r="CU78" i="1"/>
  <c r="CM78" i="1"/>
  <c r="CL78" i="1"/>
  <c r="CC78" i="1"/>
  <c r="BW78" i="1"/>
  <c r="BV78" i="1"/>
  <c r="BT78" i="1"/>
  <c r="AU78" i="1"/>
  <c r="AT78" i="1"/>
  <c r="Z78" i="1"/>
  <c r="CW78" i="1" s="1"/>
  <c r="CU77" i="1"/>
  <c r="CM77" i="1"/>
  <c r="CL77" i="1"/>
  <c r="CC77" i="1"/>
  <c r="BT77" i="1"/>
  <c r="AD77" i="1"/>
  <c r="Z77" i="1"/>
  <c r="CU76" i="1"/>
  <c r="CL76" i="1"/>
  <c r="CC76" i="1"/>
  <c r="BW76" i="1"/>
  <c r="BT76" i="1"/>
  <c r="Z76" i="1"/>
  <c r="CX75" i="1"/>
  <c r="CU75" i="1"/>
  <c r="CM75" i="1"/>
  <c r="CL75" i="1"/>
  <c r="CC75" i="1"/>
  <c r="BV75" i="1"/>
  <c r="BT75" i="1"/>
  <c r="AU75" i="1"/>
  <c r="AT75" i="1"/>
  <c r="AD75" i="1"/>
  <c r="Z75" i="1"/>
  <c r="CW75" i="1" s="1"/>
  <c r="CU74" i="1"/>
  <c r="CL74" i="1"/>
  <c r="CC74" i="1"/>
  <c r="BT74" i="1"/>
  <c r="Z74" i="1"/>
  <c r="CU73" i="1"/>
  <c r="CL73" i="1"/>
  <c r="CD73" i="1"/>
  <c r="CC73" i="1"/>
  <c r="BT73" i="1"/>
  <c r="BN73" i="1"/>
  <c r="AV73" i="1"/>
  <c r="AU73" i="1"/>
  <c r="AT73" i="1"/>
  <c r="AC73" i="1"/>
  <c r="Z73" i="1"/>
  <c r="O73" i="1"/>
  <c r="CU72" i="1"/>
  <c r="CL72" i="1"/>
  <c r="CC72" i="1"/>
  <c r="BU72" i="1"/>
  <c r="BT72" i="1"/>
  <c r="AU72" i="1"/>
  <c r="AT72" i="1"/>
  <c r="AM72" i="1"/>
  <c r="Z72" i="1"/>
  <c r="CM72" i="1" s="1"/>
  <c r="K72" i="1"/>
  <c r="CU71" i="1"/>
  <c r="CL71" i="1"/>
  <c r="CC71" i="1"/>
  <c r="BU71" i="1"/>
  <c r="BT71" i="1"/>
  <c r="AM71" i="1"/>
  <c r="AK71" i="1"/>
  <c r="Z71" i="1"/>
  <c r="CX70" i="1"/>
  <c r="CU70" i="1"/>
  <c r="CN70" i="1"/>
  <c r="CM70" i="1"/>
  <c r="CL70" i="1"/>
  <c r="CE70" i="1"/>
  <c r="CC70" i="1"/>
  <c r="BT70" i="1"/>
  <c r="BM70" i="1"/>
  <c r="BE70" i="1"/>
  <c r="AT70" i="1"/>
  <c r="AM70" i="1"/>
  <c r="AK70" i="1"/>
  <c r="Z70" i="1"/>
  <c r="O70" i="1"/>
  <c r="K70" i="1"/>
  <c r="CX69" i="1"/>
  <c r="CW69" i="1"/>
  <c r="CU69" i="1"/>
  <c r="CM69" i="1"/>
  <c r="CL69" i="1"/>
  <c r="CE69" i="1"/>
  <c r="CC69" i="1"/>
  <c r="BW69" i="1"/>
  <c r="BT69" i="1"/>
  <c r="BM69" i="1"/>
  <c r="BL69" i="1"/>
  <c r="BE69" i="1"/>
  <c r="BC69" i="1"/>
  <c r="AM69" i="1"/>
  <c r="AK69" i="1"/>
  <c r="AD69" i="1"/>
  <c r="Z69" i="1"/>
  <c r="CV69" i="1" s="1"/>
  <c r="O69" i="1"/>
  <c r="K69" i="1"/>
  <c r="CX68" i="1"/>
  <c r="CW68" i="1"/>
  <c r="CU68" i="1"/>
  <c r="CL68" i="1"/>
  <c r="CE68" i="1"/>
  <c r="CC68" i="1"/>
  <c r="BW68" i="1"/>
  <c r="BV68" i="1"/>
  <c r="BT68" i="1"/>
  <c r="BM68" i="1"/>
  <c r="BL68" i="1"/>
  <c r="BE68" i="1"/>
  <c r="BC68" i="1"/>
  <c r="AV68" i="1"/>
  <c r="AM68" i="1"/>
  <c r="AK68" i="1"/>
  <c r="AD68" i="1"/>
  <c r="AC68" i="1"/>
  <c r="Z68" i="1"/>
  <c r="CV68" i="1" s="1"/>
  <c r="O68" i="1"/>
  <c r="K68" i="1"/>
  <c r="CX67" i="1"/>
  <c r="CW67" i="1"/>
  <c r="CU67" i="1"/>
  <c r="CO67" i="1"/>
  <c r="CL67" i="1"/>
  <c r="CE67" i="1"/>
  <c r="CC67" i="1"/>
  <c r="BW67" i="1"/>
  <c r="BV67" i="1"/>
  <c r="BU67" i="1"/>
  <c r="BT67" i="1"/>
  <c r="BL67" i="1"/>
  <c r="BE67" i="1"/>
  <c r="BC67" i="1"/>
  <c r="AV67" i="1"/>
  <c r="AU67" i="1"/>
  <c r="AM67" i="1"/>
  <c r="AK67" i="1"/>
  <c r="AD67" i="1"/>
  <c r="AC67" i="1"/>
  <c r="Z67" i="1"/>
  <c r="CV67" i="1" s="1"/>
  <c r="O67" i="1"/>
  <c r="K67" i="1"/>
  <c r="CW66" i="1"/>
  <c r="CU66" i="1"/>
  <c r="CL66" i="1"/>
  <c r="CC66" i="1"/>
  <c r="BW66" i="1"/>
  <c r="BU66" i="1"/>
  <c r="BT66" i="1"/>
  <c r="AU66" i="1"/>
  <c r="AT66" i="1"/>
  <c r="AD66" i="1"/>
  <c r="Z66" i="1"/>
  <c r="AV66" i="1" s="1"/>
  <c r="CU65" i="1"/>
  <c r="CO65" i="1"/>
  <c r="CL65" i="1"/>
  <c r="CC65" i="1"/>
  <c r="BU65" i="1"/>
  <c r="BT65" i="1"/>
  <c r="AD65" i="1"/>
  <c r="AC65" i="1"/>
  <c r="Z65" i="1"/>
  <c r="CU64" i="1"/>
  <c r="CO64" i="1"/>
  <c r="CM64" i="1"/>
  <c r="CL64" i="1"/>
  <c r="CC64" i="1"/>
  <c r="BV64" i="1"/>
  <c r="BU64" i="1"/>
  <c r="BT64" i="1"/>
  <c r="BM64" i="1"/>
  <c r="AV64" i="1"/>
  <c r="AU64" i="1"/>
  <c r="AM64" i="1"/>
  <c r="AC64" i="1"/>
  <c r="Z64" i="1"/>
  <c r="AT64" i="1" s="1"/>
  <c r="O64" i="1"/>
  <c r="K64" i="1"/>
  <c r="CU63" i="1"/>
  <c r="CO63" i="1"/>
  <c r="CL63" i="1"/>
  <c r="CC63" i="1"/>
  <c r="BU63" i="1"/>
  <c r="BT63" i="1"/>
  <c r="BM63" i="1"/>
  <c r="AU63" i="1"/>
  <c r="AM63" i="1"/>
  <c r="Z63" i="1"/>
  <c r="CM63" i="1" s="1"/>
  <c r="K63" i="1"/>
  <c r="CU62" i="1"/>
  <c r="CN62" i="1"/>
  <c r="CL62" i="1"/>
  <c r="CC62" i="1"/>
  <c r="BT62" i="1"/>
  <c r="BL62" i="1"/>
  <c r="Z62" i="1"/>
  <c r="O62" i="1" s="1"/>
  <c r="CX61" i="1"/>
  <c r="CW61" i="1"/>
  <c r="CU61" i="1"/>
  <c r="CM61" i="1"/>
  <c r="CL61" i="1"/>
  <c r="CE61" i="1"/>
  <c r="CC61" i="1"/>
  <c r="BW61" i="1"/>
  <c r="BT61" i="1"/>
  <c r="BM61" i="1"/>
  <c r="BL61" i="1"/>
  <c r="BE61" i="1"/>
  <c r="BC61" i="1"/>
  <c r="AM61" i="1"/>
  <c r="AK61" i="1"/>
  <c r="AD61" i="1"/>
  <c r="Z61" i="1"/>
  <c r="CV61" i="1" s="1"/>
  <c r="O61" i="1"/>
  <c r="K61" i="1"/>
  <c r="CX60" i="1"/>
  <c r="CW60" i="1"/>
  <c r="CU60" i="1"/>
  <c r="CM60" i="1"/>
  <c r="CL60" i="1"/>
  <c r="CE60" i="1"/>
  <c r="CC60" i="1"/>
  <c r="BW60" i="1"/>
  <c r="BV60" i="1"/>
  <c r="BT60" i="1"/>
  <c r="BM60" i="1"/>
  <c r="BL60" i="1"/>
  <c r="BE60" i="1"/>
  <c r="BC60" i="1"/>
  <c r="AV60" i="1"/>
  <c r="AM60" i="1"/>
  <c r="AK60" i="1"/>
  <c r="AD60" i="1"/>
  <c r="AC60" i="1"/>
  <c r="Z60" i="1"/>
  <c r="CV60" i="1" s="1"/>
  <c r="O60" i="1"/>
  <c r="K60" i="1"/>
  <c r="CX59" i="1"/>
  <c r="CW59" i="1"/>
  <c r="CU59" i="1"/>
  <c r="CO59" i="1"/>
  <c r="CL59" i="1"/>
  <c r="CE59" i="1"/>
  <c r="CC59" i="1"/>
  <c r="BW59" i="1"/>
  <c r="BV59" i="1"/>
  <c r="BU59" i="1"/>
  <c r="BT59" i="1"/>
  <c r="BL59" i="1"/>
  <c r="BE59" i="1"/>
  <c r="BC59" i="1"/>
  <c r="AV59" i="1"/>
  <c r="AU59" i="1"/>
  <c r="AM59" i="1"/>
  <c r="AK59" i="1"/>
  <c r="AD59" i="1"/>
  <c r="AC59" i="1"/>
  <c r="Z59" i="1"/>
  <c r="CV59" i="1" s="1"/>
  <c r="O59" i="1"/>
  <c r="K59" i="1"/>
  <c r="CU58" i="1"/>
  <c r="CL58" i="1"/>
  <c r="CC58" i="1"/>
  <c r="BT58" i="1"/>
  <c r="AV58" i="1"/>
  <c r="AD58" i="1"/>
  <c r="Z58" i="1"/>
  <c r="CU57" i="1"/>
  <c r="CN57" i="1"/>
  <c r="CM57" i="1"/>
  <c r="CL57" i="1"/>
  <c r="CC57" i="1"/>
  <c r="BT57" i="1"/>
  <c r="BE57" i="1"/>
  <c r="AV57" i="1"/>
  <c r="AD57" i="1"/>
  <c r="AC57" i="1"/>
  <c r="Z57" i="1"/>
  <c r="BM57" i="1" s="1"/>
  <c r="CU56" i="1"/>
  <c r="CN56" i="1"/>
  <c r="CL56" i="1"/>
  <c r="CC56" i="1"/>
  <c r="BT56" i="1"/>
  <c r="AV56" i="1"/>
  <c r="AD56" i="1"/>
  <c r="Z56" i="1"/>
  <c r="CX55" i="1"/>
  <c r="CU55" i="1"/>
  <c r="CO55" i="1"/>
  <c r="CM55" i="1"/>
  <c r="CL55" i="1"/>
  <c r="CE55" i="1"/>
  <c r="CC55" i="1"/>
  <c r="BV55" i="1"/>
  <c r="BU55" i="1"/>
  <c r="BT55" i="1"/>
  <c r="BM55" i="1"/>
  <c r="BL55" i="1"/>
  <c r="BE55" i="1"/>
  <c r="AV55" i="1"/>
  <c r="AU55" i="1"/>
  <c r="AM55" i="1"/>
  <c r="AK55" i="1"/>
  <c r="AC55" i="1"/>
  <c r="Z55" i="1"/>
  <c r="CV55" i="1" s="1"/>
  <c r="O55" i="1"/>
  <c r="K55" i="1"/>
  <c r="CU54" i="1"/>
  <c r="CL54" i="1"/>
  <c r="CC54" i="1"/>
  <c r="BT54" i="1"/>
  <c r="Z54" i="1"/>
  <c r="CU53" i="1"/>
  <c r="CM53" i="1"/>
  <c r="CL53" i="1"/>
  <c r="CC53" i="1"/>
  <c r="BT53" i="1"/>
  <c r="AT53" i="1"/>
  <c r="AK53" i="1"/>
  <c r="Z53" i="1"/>
  <c r="BM53" i="1" s="1"/>
  <c r="O53" i="1"/>
  <c r="CW52" i="1"/>
  <c r="CU52" i="1"/>
  <c r="CN52" i="1"/>
  <c r="CL52" i="1"/>
  <c r="CC52" i="1"/>
  <c r="BU52" i="1"/>
  <c r="BT52" i="1"/>
  <c r="BL52" i="1"/>
  <c r="BE52" i="1"/>
  <c r="AV52" i="1"/>
  <c r="AK52" i="1"/>
  <c r="AC52" i="1"/>
  <c r="Z52" i="1"/>
  <c r="CX52" i="1" s="1"/>
  <c r="O52" i="1"/>
  <c r="K52" i="1"/>
  <c r="CU51" i="1"/>
  <c r="CL51" i="1"/>
  <c r="CD51" i="1"/>
  <c r="CC51" i="1"/>
  <c r="BT51" i="1"/>
  <c r="BN51" i="1"/>
  <c r="BM51" i="1"/>
  <c r="AK51" i="1"/>
  <c r="Z51" i="1"/>
  <c r="O51" i="1" s="1"/>
  <c r="CX50" i="1"/>
  <c r="CW50" i="1"/>
  <c r="CU50" i="1"/>
  <c r="CL50" i="1"/>
  <c r="CE50" i="1"/>
  <c r="CC50" i="1"/>
  <c r="BV50" i="1"/>
  <c r="BT50" i="1"/>
  <c r="BE50" i="1"/>
  <c r="BD50" i="1"/>
  <c r="AV50" i="1"/>
  <c r="AK50" i="1"/>
  <c r="AC50" i="1"/>
  <c r="Z50" i="1"/>
  <c r="CD50" i="1" s="1"/>
  <c r="O50" i="1"/>
  <c r="K50" i="1"/>
  <c r="CU49" i="1"/>
  <c r="CL49" i="1"/>
  <c r="CC49" i="1"/>
  <c r="BT49" i="1"/>
  <c r="Z49" i="1"/>
  <c r="O49" i="1" s="1"/>
  <c r="CU48" i="1"/>
  <c r="CL48" i="1"/>
  <c r="CC48" i="1"/>
  <c r="BT48" i="1"/>
  <c r="AL48" i="1"/>
  <c r="Z48" i="1"/>
  <c r="CU47" i="1"/>
  <c r="CO47" i="1"/>
  <c r="CM47" i="1"/>
  <c r="CL47" i="1"/>
  <c r="CC47" i="1"/>
  <c r="BW47" i="1"/>
  <c r="BU47" i="1"/>
  <c r="BT47" i="1"/>
  <c r="BN47" i="1"/>
  <c r="BE47" i="1"/>
  <c r="BD47" i="1"/>
  <c r="AU47" i="1"/>
  <c r="AM47" i="1"/>
  <c r="AL47" i="1"/>
  <c r="AK47" i="1"/>
  <c r="AC47" i="1"/>
  <c r="AB47" i="1"/>
  <c r="S47" i="1" s="1"/>
  <c r="Z47" i="1"/>
  <c r="CF47" i="1" s="1"/>
  <c r="CU46" i="1"/>
  <c r="CL46" i="1"/>
  <c r="CC46" i="1"/>
  <c r="BT46" i="1"/>
  <c r="BM46" i="1"/>
  <c r="Z46" i="1"/>
  <c r="K46" i="1"/>
  <c r="CX45" i="1"/>
  <c r="CU45" i="1"/>
  <c r="CO45" i="1"/>
  <c r="CM45" i="1"/>
  <c r="CL45" i="1"/>
  <c r="CC45" i="1"/>
  <c r="BV45" i="1"/>
  <c r="BU45" i="1"/>
  <c r="BT45" i="1"/>
  <c r="BM45" i="1"/>
  <c r="BE45" i="1"/>
  <c r="AV45" i="1"/>
  <c r="AU45" i="1"/>
  <c r="AC45" i="1"/>
  <c r="Z45" i="1"/>
  <c r="CV45" i="1" s="1"/>
  <c r="O45" i="1"/>
  <c r="CU44" i="1"/>
  <c r="CN44" i="1"/>
  <c r="CL44" i="1"/>
  <c r="CC44" i="1"/>
  <c r="BT44" i="1"/>
  <c r="BL44" i="1"/>
  <c r="AU44" i="1"/>
  <c r="Z44" i="1"/>
  <c r="K44" i="1"/>
  <c r="CU43" i="1"/>
  <c r="CL43" i="1"/>
  <c r="CC43" i="1"/>
  <c r="BT43" i="1"/>
  <c r="Z43" i="1"/>
  <c r="CO43" i="1" s="1"/>
  <c r="CX42" i="1"/>
  <c r="CU42" i="1"/>
  <c r="CM42" i="1"/>
  <c r="CL42" i="1"/>
  <c r="CF42" i="1"/>
  <c r="CE42" i="1"/>
  <c r="CC42" i="1"/>
  <c r="BV42" i="1"/>
  <c r="BT42" i="1"/>
  <c r="BM42" i="1"/>
  <c r="BE42" i="1"/>
  <c r="AU42" i="1"/>
  <c r="AM42" i="1"/>
  <c r="AK42" i="1"/>
  <c r="AD42" i="1"/>
  <c r="Z42" i="1"/>
  <c r="CD42" i="1" s="1"/>
  <c r="O42" i="1"/>
  <c r="CX41" i="1"/>
  <c r="CU41" i="1"/>
  <c r="CO41" i="1"/>
  <c r="CM41" i="1"/>
  <c r="CL41" i="1"/>
  <c r="CE41" i="1"/>
  <c r="CC41" i="1"/>
  <c r="BU41" i="1"/>
  <c r="BT41" i="1"/>
  <c r="BM41" i="1"/>
  <c r="BL41" i="1"/>
  <c r="BE41" i="1"/>
  <c r="AU41" i="1"/>
  <c r="AM41" i="1"/>
  <c r="AK41" i="1"/>
  <c r="Z41" i="1"/>
  <c r="CV41" i="1" s="1"/>
  <c r="O41" i="1"/>
  <c r="K41" i="1"/>
  <c r="CU40" i="1"/>
  <c r="CL40" i="1"/>
  <c r="CC40" i="1"/>
  <c r="BT40" i="1"/>
  <c r="AU40" i="1"/>
  <c r="Z40" i="1"/>
  <c r="K40" i="1" s="1"/>
  <c r="CW39" i="1"/>
  <c r="CU39" i="1"/>
  <c r="CL39" i="1"/>
  <c r="CE39" i="1"/>
  <c r="CD39" i="1"/>
  <c r="CC39" i="1"/>
  <c r="BT39" i="1"/>
  <c r="BN39" i="1"/>
  <c r="AM39" i="1"/>
  <c r="AL39" i="1"/>
  <c r="AC39" i="1"/>
  <c r="AB39" i="1"/>
  <c r="Z39" i="1"/>
  <c r="BE39" i="1" s="1"/>
  <c r="S39" i="1"/>
  <c r="O39" i="1"/>
  <c r="CX38" i="1"/>
  <c r="CW38" i="1"/>
  <c r="CU38" i="1"/>
  <c r="CO38" i="1"/>
  <c r="CM38" i="1"/>
  <c r="CL38" i="1"/>
  <c r="CE38" i="1"/>
  <c r="CC38" i="1"/>
  <c r="BV38" i="1"/>
  <c r="BT38" i="1"/>
  <c r="BM38" i="1"/>
  <c r="BL38" i="1"/>
  <c r="AU38" i="1"/>
  <c r="AT38" i="1"/>
  <c r="AM38" i="1"/>
  <c r="AD38" i="1"/>
  <c r="AB38" i="1"/>
  <c r="S38" i="1" s="1"/>
  <c r="Z38" i="1"/>
  <c r="CX37" i="1"/>
  <c r="CW37" i="1"/>
  <c r="CU37" i="1"/>
  <c r="CO37" i="1"/>
  <c r="CL37" i="1"/>
  <c r="CC37" i="1"/>
  <c r="BW37" i="1"/>
  <c r="BV37" i="1"/>
  <c r="BU37" i="1"/>
  <c r="BT37" i="1"/>
  <c r="BE37" i="1"/>
  <c r="BC37" i="1"/>
  <c r="AV37" i="1"/>
  <c r="AU37" i="1"/>
  <c r="AT37" i="1"/>
  <c r="AK37" i="1"/>
  <c r="AD37" i="1"/>
  <c r="AC37" i="1"/>
  <c r="Z37" i="1"/>
  <c r="CV37" i="1" s="1"/>
  <c r="K37" i="1"/>
  <c r="CU36" i="1"/>
  <c r="CL36" i="1"/>
  <c r="CC36" i="1"/>
  <c r="BT36" i="1"/>
  <c r="Z36" i="1"/>
  <c r="BN36" i="1" s="1"/>
  <c r="CU35" i="1"/>
  <c r="CL35" i="1"/>
  <c r="CC35" i="1"/>
  <c r="BT35" i="1"/>
  <c r="Z35" i="1"/>
  <c r="CO35" i="1" s="1"/>
  <c r="CU34" i="1"/>
  <c r="CL34" i="1"/>
  <c r="CC34" i="1"/>
  <c r="BT34" i="1"/>
  <c r="BN34" i="1"/>
  <c r="Z34" i="1"/>
  <c r="AD34" i="1" s="1"/>
  <c r="CU33" i="1"/>
  <c r="CL33" i="1"/>
  <c r="CC33" i="1"/>
  <c r="BT33" i="1"/>
  <c r="AD33" i="1"/>
  <c r="Z33" i="1"/>
  <c r="BN33" i="1" s="1"/>
  <c r="CU32" i="1"/>
  <c r="CL32" i="1"/>
  <c r="CC32" i="1"/>
  <c r="BT32" i="1"/>
  <c r="AD32" i="1"/>
  <c r="Z32" i="1"/>
  <c r="BN32" i="1" s="1"/>
  <c r="CU31" i="1"/>
  <c r="CL31" i="1"/>
  <c r="CC31" i="1"/>
  <c r="BT31" i="1"/>
  <c r="Z31" i="1"/>
  <c r="CM31" i="1" s="1"/>
  <c r="CU30" i="1"/>
  <c r="CL30" i="1"/>
  <c r="CC30" i="1"/>
  <c r="BT30" i="1"/>
  <c r="Z30" i="1"/>
  <c r="CU29" i="1"/>
  <c r="CL29" i="1"/>
  <c r="CC29" i="1"/>
  <c r="BT29" i="1"/>
  <c r="Z29" i="1"/>
  <c r="CU28" i="1"/>
  <c r="CL28" i="1"/>
  <c r="CC28" i="1"/>
  <c r="BT28" i="1"/>
  <c r="Z28" i="1"/>
  <c r="O28" i="1"/>
  <c r="K28" i="1"/>
  <c r="CU27" i="1"/>
  <c r="CL27" i="1"/>
  <c r="CC27" i="1"/>
  <c r="BT27" i="1"/>
  <c r="Z27" i="1"/>
  <c r="K27" i="1"/>
  <c r="B27" i="1" a="1"/>
  <c r="B27" i="1" s="1"/>
  <c r="CU26" i="1"/>
  <c r="CL26" i="1"/>
  <c r="CC26" i="1"/>
  <c r="BT26" i="1"/>
  <c r="Z26" i="1"/>
  <c r="B26" i="1" a="1"/>
  <c r="B26" i="1" s="1"/>
  <c r="CU25" i="1"/>
  <c r="CL25" i="1"/>
  <c r="CC25" i="1"/>
  <c r="BT25" i="1"/>
  <c r="Z25" i="1"/>
  <c r="O25" i="1"/>
  <c r="K25" i="1"/>
  <c r="B25" i="1" a="1"/>
  <c r="B25" i="1" s="1"/>
  <c r="CU24" i="1"/>
  <c r="CL24" i="1"/>
  <c r="CC24" i="1"/>
  <c r="BT24" i="1"/>
  <c r="Z24" i="1"/>
  <c r="B24" i="1" a="1"/>
  <c r="B24" i="1" s="1"/>
  <c r="CU23" i="1"/>
  <c r="CL23" i="1"/>
  <c r="CC23" i="1"/>
  <c r="BT23" i="1"/>
  <c r="Z23" i="1"/>
  <c r="O23" i="1" s="1"/>
  <c r="CU22" i="1"/>
  <c r="CL22" i="1"/>
  <c r="CC22" i="1"/>
  <c r="BT22" i="1"/>
  <c r="Z22" i="1"/>
  <c r="K22" i="1" s="1"/>
  <c r="O22" i="1"/>
  <c r="CU21" i="1"/>
  <c r="CL21" i="1"/>
  <c r="CC21" i="1"/>
  <c r="BT21" i="1"/>
  <c r="Z21" i="1"/>
  <c r="K21" i="1" s="1"/>
  <c r="O21" i="1"/>
  <c r="CU20" i="1"/>
  <c r="CL20" i="1"/>
  <c r="CC20" i="1"/>
  <c r="BT20" i="1"/>
  <c r="Z20" i="1"/>
  <c r="O20" i="1"/>
  <c r="CU19" i="1"/>
  <c r="CL19" i="1"/>
  <c r="CC19" i="1"/>
  <c r="BT19" i="1"/>
  <c r="Z19" i="1"/>
  <c r="O19" i="1" s="1"/>
  <c r="CU18" i="1"/>
  <c r="CL18" i="1"/>
  <c r="CC18" i="1"/>
  <c r="BT18" i="1"/>
  <c r="Z18" i="1"/>
  <c r="CU17" i="1"/>
  <c r="CL17" i="1"/>
  <c r="CC17" i="1"/>
  <c r="BT17" i="1"/>
  <c r="Z17" i="1"/>
  <c r="O17" i="1"/>
  <c r="CU16" i="1"/>
  <c r="CL16" i="1"/>
  <c r="CC16" i="1"/>
  <c r="BT16" i="1"/>
  <c r="Z16" i="1"/>
  <c r="O16" i="1"/>
  <c r="CU15" i="1"/>
  <c r="CL15" i="1"/>
  <c r="CC15" i="1"/>
  <c r="BT15" i="1"/>
  <c r="Z15" i="1"/>
  <c r="O15" i="1"/>
  <c r="CU14" i="1"/>
  <c r="CL14" i="1"/>
  <c r="CC14" i="1"/>
  <c r="BT14" i="1"/>
  <c r="Z14" i="1"/>
  <c r="O14" i="1"/>
  <c r="CU13" i="1"/>
  <c r="CU5" i="1" s="1"/>
  <c r="CL13" i="1"/>
  <c r="CC13" i="1"/>
  <c r="BT13" i="1"/>
  <c r="Z13" i="1"/>
  <c r="CU12" i="1"/>
  <c r="CL12" i="1"/>
  <c r="CC12" i="1"/>
  <c r="BT12" i="1"/>
  <c r="Z12" i="1"/>
  <c r="CU11" i="1"/>
  <c r="CL11" i="1"/>
  <c r="CC11" i="1"/>
  <c r="BT11" i="1"/>
  <c r="AD11" i="1"/>
  <c r="Z11" i="1"/>
  <c r="CU10" i="1"/>
  <c r="CL10" i="1"/>
  <c r="CC10" i="1"/>
  <c r="BT10" i="1"/>
  <c r="Z10" i="1"/>
  <c r="AC10" i="1" s="1"/>
  <c r="I10" i="1"/>
  <c r="I11" i="1" s="1"/>
  <c r="CU9" i="1"/>
  <c r="CL9" i="1"/>
  <c r="CC9" i="1"/>
  <c r="BT9" i="1"/>
  <c r="Z9" i="1"/>
  <c r="O9" i="1"/>
  <c r="K9" i="1"/>
  <c r="CU8" i="1"/>
  <c r="CL8" i="1"/>
  <c r="CC8" i="1"/>
  <c r="BT8" i="1"/>
  <c r="Z8" i="1"/>
  <c r="K8" i="1" s="1"/>
  <c r="CU7" i="1"/>
  <c r="CL7" i="1"/>
  <c r="CC7" i="1"/>
  <c r="BT7" i="1"/>
  <c r="Z7" i="1"/>
  <c r="O7" i="1" s="1"/>
  <c r="K7" i="1"/>
  <c r="CU6" i="1"/>
  <c r="CL6" i="1"/>
  <c r="CC6" i="1"/>
  <c r="BT6" i="1"/>
  <c r="Z6" i="1"/>
  <c r="K6" i="1"/>
  <c r="CZ5" i="1"/>
  <c r="CQ5" i="1"/>
  <c r="CH5" i="1"/>
  <c r="BY5" i="1"/>
  <c r="BP5" i="1"/>
  <c r="BG5" i="1"/>
  <c r="AX5" i="1"/>
  <c r="AO5" i="1"/>
  <c r="AF5" i="1"/>
  <c r="I5" i="1"/>
  <c r="AA3" i="1"/>
  <c r="AD30" i="1" s="1"/>
  <c r="BX7" i="2" l="1"/>
  <c r="AE37" i="1"/>
  <c r="CV54" i="1"/>
  <c r="CE54" i="1"/>
  <c r="AK54" i="1"/>
  <c r="CX54" i="1"/>
  <c r="BE54" i="1"/>
  <c r="CW54" i="1"/>
  <c r="BW54" i="1"/>
  <c r="BC54" i="1"/>
  <c r="AD54" i="1"/>
  <c r="BV54" i="1"/>
  <c r="AV54" i="1"/>
  <c r="AC54" i="1"/>
  <c r="CM54" i="1"/>
  <c r="BM54" i="1"/>
  <c r="O54" i="1"/>
  <c r="CM36" i="1"/>
  <c r="CF46" i="1"/>
  <c r="BE46" i="1"/>
  <c r="AD46" i="1"/>
  <c r="CX46" i="1"/>
  <c r="AU46" i="1"/>
  <c r="AB46" i="1"/>
  <c r="S46" i="1" s="1"/>
  <c r="AM46" i="1"/>
  <c r="O46" i="1"/>
  <c r="K24" i="1"/>
  <c r="O35" i="1"/>
  <c r="BD35" i="1"/>
  <c r="AT46" i="1"/>
  <c r="CO48" i="1"/>
  <c r="K48" i="1"/>
  <c r="BE48" i="1"/>
  <c r="CN48" i="1"/>
  <c r="BC48" i="1"/>
  <c r="CM48" i="1"/>
  <c r="BW48" i="1"/>
  <c r="CV56" i="1"/>
  <c r="CE56" i="1"/>
  <c r="AK56" i="1"/>
  <c r="CX56" i="1"/>
  <c r="BE56" i="1"/>
  <c r="BW56" i="1"/>
  <c r="AU56" i="1"/>
  <c r="O56" i="1"/>
  <c r="CW56" i="1"/>
  <c r="BV56" i="1"/>
  <c r="AT56" i="1"/>
  <c r="K56" i="1"/>
  <c r="BU56" i="1"/>
  <c r="CO56" i="1"/>
  <c r="AM56" i="1"/>
  <c r="BC56" i="1"/>
  <c r="AE56" i="1"/>
  <c r="Q56" i="1" s="1"/>
  <c r="CV58" i="1"/>
  <c r="CM58" i="1"/>
  <c r="BM58" i="1"/>
  <c r="O58" i="1"/>
  <c r="BL58" i="1"/>
  <c r="AM58" i="1"/>
  <c r="K58" i="1"/>
  <c r="CX58" i="1"/>
  <c r="BW58" i="1"/>
  <c r="AU58" i="1"/>
  <c r="CW58" i="1"/>
  <c r="BV58" i="1"/>
  <c r="AT58" i="1"/>
  <c r="BU58" i="1"/>
  <c r="AK58" i="1"/>
  <c r="CO58" i="1"/>
  <c r="CE58" i="1"/>
  <c r="BC58" i="1"/>
  <c r="AE58" i="1"/>
  <c r="Q58" i="1" s="1"/>
  <c r="CM101" i="1"/>
  <c r="CO101" i="1"/>
  <c r="BC101" i="1"/>
  <c r="K101" i="1"/>
  <c r="CN101" i="1"/>
  <c r="AV101" i="1"/>
  <c r="AM101" i="1"/>
  <c r="BL101" i="1"/>
  <c r="AK101" i="1"/>
  <c r="BM101" i="1"/>
  <c r="AB35" i="1"/>
  <c r="S35" i="1" s="1"/>
  <c r="K10" i="1"/>
  <c r="AC6" i="1"/>
  <c r="AD8" i="1"/>
  <c r="O10" i="1"/>
  <c r="K16" i="1"/>
  <c r="O24" i="1"/>
  <c r="BM35" i="1"/>
  <c r="CW35" i="1"/>
  <c r="CD38" i="1"/>
  <c r="CV38" i="1"/>
  <c r="BE38" i="1"/>
  <c r="AK38" i="1"/>
  <c r="O38" i="1"/>
  <c r="BW38" i="1"/>
  <c r="BD38" i="1"/>
  <c r="K38" i="1"/>
  <c r="CN38" i="1"/>
  <c r="BU38" i="1"/>
  <c r="AV38" i="1"/>
  <c r="AC38" i="1"/>
  <c r="BC38" i="1"/>
  <c r="CF38" i="1"/>
  <c r="AV40" i="1"/>
  <c r="BC46" i="1"/>
  <c r="CM46" i="1"/>
  <c r="AK48" i="1"/>
  <c r="K54" i="1"/>
  <c r="BU54" i="1"/>
  <c r="AC56" i="1"/>
  <c r="CM56" i="1"/>
  <c r="AC58" i="1"/>
  <c r="CN58" i="1"/>
  <c r="BN35" i="1"/>
  <c r="CV49" i="1"/>
  <c r="CX49" i="1"/>
  <c r="BE49" i="1"/>
  <c r="CW49" i="1"/>
  <c r="BW49" i="1"/>
  <c r="BC49" i="1"/>
  <c r="AD49" i="1"/>
  <c r="BV49" i="1"/>
  <c r="AV49" i="1"/>
  <c r="AC49" i="1"/>
  <c r="CO49" i="1"/>
  <c r="BU49" i="1"/>
  <c r="AU49" i="1"/>
  <c r="AE49" i="1"/>
  <c r="BL49" i="1"/>
  <c r="AM49" i="1"/>
  <c r="K49" i="1"/>
  <c r="AK49" i="1"/>
  <c r="BN74" i="1"/>
  <c r="AU74" i="1"/>
  <c r="BV74" i="1"/>
  <c r="AT74" i="1"/>
  <c r="AL74" i="1"/>
  <c r="BW74" i="1"/>
  <c r="K29" i="1"/>
  <c r="AC35" i="1"/>
  <c r="AU36" i="1"/>
  <c r="CX44" i="1"/>
  <c r="AK44" i="1"/>
  <c r="BW44" i="1"/>
  <c r="BM44" i="1"/>
  <c r="O44" i="1"/>
  <c r="CM44" i="1"/>
  <c r="AV44" i="1"/>
  <c r="CO44" i="1"/>
  <c r="BU46" i="1"/>
  <c r="CW46" i="1"/>
  <c r="BU48" i="1"/>
  <c r="CM49" i="1"/>
  <c r="CV53" i="1"/>
  <c r="CX53" i="1"/>
  <c r="BE53" i="1"/>
  <c r="CW53" i="1"/>
  <c r="BW53" i="1"/>
  <c r="BC53" i="1"/>
  <c r="AD53" i="1"/>
  <c r="BV53" i="1"/>
  <c r="AV53" i="1"/>
  <c r="AC53" i="1"/>
  <c r="CO53" i="1"/>
  <c r="BU53" i="1"/>
  <c r="AU53" i="1"/>
  <c r="AE53" i="1"/>
  <c r="BL53" i="1"/>
  <c r="AM53" i="1"/>
  <c r="K53" i="1"/>
  <c r="CE53" i="1"/>
  <c r="AM54" i="1"/>
  <c r="CN54" i="1"/>
  <c r="BL56" i="1"/>
  <c r="CV57" i="1"/>
  <c r="BL57" i="1"/>
  <c r="AM57" i="1"/>
  <c r="K57" i="1"/>
  <c r="CE57" i="1"/>
  <c r="AK57" i="1"/>
  <c r="CX57" i="1"/>
  <c r="BW57" i="1"/>
  <c r="AU57" i="1"/>
  <c r="O57" i="1"/>
  <c r="CW57" i="1"/>
  <c r="BV57" i="1"/>
  <c r="AT57" i="1"/>
  <c r="BU57" i="1"/>
  <c r="CO57" i="1"/>
  <c r="BC57" i="1"/>
  <c r="AE57" i="1"/>
  <c r="Q57" i="1" s="1"/>
  <c r="BE58" i="1"/>
  <c r="AD74" i="1"/>
  <c r="CV46" i="1"/>
  <c r="AJ3" i="1" a="1"/>
  <c r="AJ3" i="1" s="1"/>
  <c r="AO3" i="1" s="1"/>
  <c r="CL5" i="1"/>
  <c r="O29" i="1"/>
  <c r="AL35" i="1"/>
  <c r="CE35" i="1"/>
  <c r="AV36" i="1"/>
  <c r="AC46" i="1"/>
  <c r="BW46" i="1"/>
  <c r="AT49" i="1"/>
  <c r="CN49" i="1"/>
  <c r="AT54" i="1"/>
  <c r="CO54" i="1"/>
  <c r="BM56" i="1"/>
  <c r="CV62" i="1"/>
  <c r="CW62" i="1"/>
  <c r="BW62" i="1"/>
  <c r="BC62" i="1"/>
  <c r="AD62" i="1"/>
  <c r="BV62" i="1"/>
  <c r="AV62" i="1"/>
  <c r="AC62" i="1"/>
  <c r="CO62" i="1"/>
  <c r="BU62" i="1"/>
  <c r="AU62" i="1"/>
  <c r="CE62" i="1"/>
  <c r="AM62" i="1"/>
  <c r="AK62" i="1"/>
  <c r="CX62" i="1"/>
  <c r="BM62" i="1"/>
  <c r="CM62" i="1"/>
  <c r="BE62" i="1"/>
  <c r="K62" i="1"/>
  <c r="AT62" i="1"/>
  <c r="CW77" i="1"/>
  <c r="BV77" i="1"/>
  <c r="CX77" i="1"/>
  <c r="BW77" i="1"/>
  <c r="AU77" i="1"/>
  <c r="AT77" i="1"/>
  <c r="J5" i="2"/>
  <c r="J6" i="2" s="1"/>
  <c r="CE49" i="1"/>
  <c r="AD13" i="1"/>
  <c r="K23" i="1"/>
  <c r="CF35" i="1"/>
  <c r="BC36" i="1"/>
  <c r="CX40" i="1"/>
  <c r="BM40" i="1"/>
  <c r="CO40" i="1"/>
  <c r="BL40" i="1"/>
  <c r="CM40" i="1"/>
  <c r="BC40" i="1"/>
  <c r="O40" i="1"/>
  <c r="BW40" i="1"/>
  <c r="AM40" i="1"/>
  <c r="CN40" i="1"/>
  <c r="AK46" i="1"/>
  <c r="AU54" i="1"/>
  <c r="CW82" i="1"/>
  <c r="BV82" i="1"/>
  <c r="AU82" i="1"/>
  <c r="AT82" i="1"/>
  <c r="AD82" i="1"/>
  <c r="AT94" i="1"/>
  <c r="AB94" i="1"/>
  <c r="S94" i="1" s="1"/>
  <c r="O94" i="1"/>
  <c r="CC5" i="1"/>
  <c r="K35" i="1"/>
  <c r="AV35" i="1"/>
  <c r="AK40" i="1"/>
  <c r="CE46" i="1"/>
  <c r="BM49" i="1"/>
  <c r="CN53" i="1"/>
  <c r="BL54" i="1"/>
  <c r="CD74" i="1"/>
  <c r="O101" i="1"/>
  <c r="CV65" i="1"/>
  <c r="BL65" i="1"/>
  <c r="AM65" i="1"/>
  <c r="K65" i="1"/>
  <c r="CE65" i="1"/>
  <c r="AK65" i="1"/>
  <c r="CX65" i="1"/>
  <c r="BE65" i="1"/>
  <c r="BC65" i="1"/>
  <c r="CM65" i="1"/>
  <c r="CV71" i="1"/>
  <c r="CX71" i="1"/>
  <c r="BE71" i="1"/>
  <c r="CW71" i="1"/>
  <c r="BW71" i="1"/>
  <c r="BC71" i="1"/>
  <c r="AD71" i="1"/>
  <c r="BV71" i="1"/>
  <c r="AV71" i="1"/>
  <c r="AC71" i="1"/>
  <c r="BL71" i="1"/>
  <c r="CN71" i="1"/>
  <c r="CW79" i="1"/>
  <c r="CX79" i="1"/>
  <c r="AU79" i="1"/>
  <c r="CM79" i="1"/>
  <c r="AT79" i="1"/>
  <c r="CW80" i="1"/>
  <c r="BW80" i="1"/>
  <c r="BV80" i="1"/>
  <c r="CM80" i="1"/>
  <c r="CM102" i="1"/>
  <c r="AM102" i="1"/>
  <c r="CE102" i="1"/>
  <c r="AK102" i="1"/>
  <c r="AT45" i="1"/>
  <c r="CN45" i="1"/>
  <c r="AD50" i="1"/>
  <c r="BC50" i="1"/>
  <c r="BW50" i="1"/>
  <c r="CV50" i="1"/>
  <c r="AU52" i="1"/>
  <c r="BW52" i="1"/>
  <c r="AT55" i="1"/>
  <c r="CN55" i="1"/>
  <c r="AK63" i="1"/>
  <c r="AE65" i="1"/>
  <c r="Q65" i="1" s="1"/>
  <c r="BM65" i="1"/>
  <c r="CN65" i="1"/>
  <c r="BV66" i="1"/>
  <c r="CX66" i="1"/>
  <c r="BM71" i="1"/>
  <c r="CO71" i="1"/>
  <c r="BV72" i="1"/>
  <c r="BM73" i="1"/>
  <c r="AM73" i="1"/>
  <c r="K73" i="1"/>
  <c r="AK73" i="1"/>
  <c r="CE73" i="1"/>
  <c r="BE73" i="1"/>
  <c r="BC73" i="1"/>
  <c r="CX73" i="1"/>
  <c r="CW76" i="1"/>
  <c r="AU76" i="1"/>
  <c r="CM76" i="1"/>
  <c r="AT76" i="1"/>
  <c r="AD76" i="1"/>
  <c r="CX76" i="1"/>
  <c r="AD79" i="1"/>
  <c r="AD80" i="1"/>
  <c r="CM98" i="1"/>
  <c r="AM98" i="1"/>
  <c r="CE98" i="1"/>
  <c r="AK98" i="1"/>
  <c r="CN102" i="1"/>
  <c r="AT41" i="1"/>
  <c r="CN41" i="1"/>
  <c r="AT42" i="1"/>
  <c r="BU42" i="1"/>
  <c r="CO42" i="1"/>
  <c r="AD45" i="1"/>
  <c r="AE45" i="1" s="1"/>
  <c r="Q45" i="1" s="1"/>
  <c r="BC45" i="1"/>
  <c r="BW45" i="1"/>
  <c r="CW45" i="1"/>
  <c r="CW47" i="1"/>
  <c r="AM50" i="1"/>
  <c r="CF50" i="1"/>
  <c r="CM52" i="1"/>
  <c r="AD55" i="1"/>
  <c r="AE55" i="1" s="1"/>
  <c r="Q55" i="1" s="1"/>
  <c r="BC55" i="1"/>
  <c r="BW55" i="1"/>
  <c r="CW55" i="1"/>
  <c r="AT63" i="1"/>
  <c r="CE63" i="1"/>
  <c r="CV64" i="1"/>
  <c r="CE64" i="1"/>
  <c r="AK64" i="1"/>
  <c r="CX64" i="1"/>
  <c r="BE64" i="1"/>
  <c r="CW64" i="1"/>
  <c r="BW64" i="1"/>
  <c r="BC64" i="1"/>
  <c r="AD64" i="1"/>
  <c r="AE64" i="1" s="1"/>
  <c r="Q64" i="1" s="1"/>
  <c r="BL64" i="1"/>
  <c r="CN64" i="1"/>
  <c r="BV65" i="1"/>
  <c r="CW65" i="1"/>
  <c r="CV70" i="1"/>
  <c r="CW70" i="1"/>
  <c r="BW70" i="1"/>
  <c r="BC70" i="1"/>
  <c r="AD70" i="1"/>
  <c r="BV70" i="1"/>
  <c r="AV70" i="1"/>
  <c r="AC70" i="1"/>
  <c r="CO70" i="1"/>
  <c r="BU70" i="1"/>
  <c r="AU70" i="1"/>
  <c r="BL70" i="1"/>
  <c r="O72" i="1"/>
  <c r="AV72" i="1"/>
  <c r="AD73" i="1"/>
  <c r="AE73" i="1" s="1"/>
  <c r="Q73" i="1" s="1"/>
  <c r="BW73" i="1"/>
  <c r="BV76" i="1"/>
  <c r="BW79" i="1"/>
  <c r="CW83" i="1"/>
  <c r="BV83" i="1"/>
  <c r="AU83" i="1"/>
  <c r="CM97" i="1"/>
  <c r="CO97" i="1"/>
  <c r="BC97" i="1"/>
  <c r="K97" i="1"/>
  <c r="CN97" i="1"/>
  <c r="AV97" i="1"/>
  <c r="AM97" i="1"/>
  <c r="CE97" i="1"/>
  <c r="BC98" i="1"/>
  <c r="BL102" i="1"/>
  <c r="BM50" i="1"/>
  <c r="AE59" i="1"/>
  <c r="AT65" i="1"/>
  <c r="BW65" i="1"/>
  <c r="CV66" i="1"/>
  <c r="CM66" i="1"/>
  <c r="BM66" i="1"/>
  <c r="O66" i="1"/>
  <c r="BL66" i="1"/>
  <c r="AM66" i="1"/>
  <c r="K66" i="1"/>
  <c r="CE66" i="1"/>
  <c r="AK66" i="1"/>
  <c r="BC66" i="1"/>
  <c r="CN66" i="1"/>
  <c r="AT71" i="1"/>
  <c r="CE71" i="1"/>
  <c r="CV72" i="1"/>
  <c r="CE72" i="1"/>
  <c r="AK72" i="1"/>
  <c r="CX72" i="1"/>
  <c r="BE72" i="1"/>
  <c r="CW72" i="1"/>
  <c r="BW72" i="1"/>
  <c r="BC72" i="1"/>
  <c r="AD72" i="1"/>
  <c r="BL72" i="1"/>
  <c r="CN72" i="1"/>
  <c r="AT86" i="1"/>
  <c r="AL86" i="1"/>
  <c r="AD86" i="1"/>
  <c r="AC86" i="1"/>
  <c r="BM102" i="1"/>
  <c r="O37" i="1"/>
  <c r="AM37" i="1"/>
  <c r="BL37" i="1"/>
  <c r="CM37" i="1"/>
  <c r="BC39" i="1"/>
  <c r="CO39" i="1"/>
  <c r="AC41" i="1"/>
  <c r="AV41" i="1"/>
  <c r="BV41" i="1"/>
  <c r="AB42" i="1"/>
  <c r="S42" i="1" s="1"/>
  <c r="BC42" i="1"/>
  <c r="BW42" i="1"/>
  <c r="CV42" i="1"/>
  <c r="AK45" i="1"/>
  <c r="CE45" i="1"/>
  <c r="AT50" i="1"/>
  <c r="CM50" i="1"/>
  <c r="BM52" i="1"/>
  <c r="CO52" i="1"/>
  <c r="O63" i="1"/>
  <c r="AU65" i="1"/>
  <c r="AE66" i="1"/>
  <c r="Q66" i="1" s="1"/>
  <c r="BE66" i="1"/>
  <c r="CO66" i="1"/>
  <c r="K71" i="1"/>
  <c r="AU71" i="1"/>
  <c r="BM72" i="1"/>
  <c r="CO72" i="1"/>
  <c r="BM98" i="1"/>
  <c r="K102" i="1"/>
  <c r="BM37" i="1"/>
  <c r="CN37" i="1"/>
  <c r="AD41" i="1"/>
  <c r="AE41" i="1" s="1"/>
  <c r="BC41" i="1"/>
  <c r="BW41" i="1"/>
  <c r="CW41" i="1"/>
  <c r="AC42" i="1"/>
  <c r="BD42" i="1"/>
  <c r="CW42" i="1"/>
  <c r="K45" i="1"/>
  <c r="AM45" i="1"/>
  <c r="BL45" i="1"/>
  <c r="BC47" i="1"/>
  <c r="AB50" i="1"/>
  <c r="S50" i="1" s="1"/>
  <c r="AU50" i="1"/>
  <c r="BU50" i="1"/>
  <c r="CO50" i="1"/>
  <c r="CV63" i="1"/>
  <c r="CX63" i="1"/>
  <c r="BE63" i="1"/>
  <c r="CW63" i="1"/>
  <c r="BW63" i="1"/>
  <c r="BC63" i="1"/>
  <c r="AD63" i="1"/>
  <c r="AE63" i="1" s="1"/>
  <c r="Q63" i="1" s="1"/>
  <c r="BV63" i="1"/>
  <c r="AV63" i="1"/>
  <c r="AC63" i="1"/>
  <c r="BL63" i="1"/>
  <c r="CN63" i="1"/>
  <c r="O65" i="1"/>
  <c r="AV65" i="1"/>
  <c r="AC66" i="1"/>
  <c r="AE67" i="1"/>
  <c r="Q67" i="1" s="1"/>
  <c r="O71" i="1"/>
  <c r="CM71" i="1"/>
  <c r="AC72" i="1"/>
  <c r="AM86" i="1"/>
  <c r="AK97" i="1"/>
  <c r="K98" i="1"/>
  <c r="O102" i="1"/>
  <c r="AT61" i="1"/>
  <c r="CN61" i="1"/>
  <c r="CM68" i="1"/>
  <c r="AT69" i="1"/>
  <c r="CN69" i="1"/>
  <c r="BM99" i="1"/>
  <c r="CO100" i="1"/>
  <c r="BM103" i="1"/>
  <c r="K104" i="1"/>
  <c r="BM104" i="1"/>
  <c r="O105" i="1"/>
  <c r="BM59" i="1"/>
  <c r="CM59" i="1"/>
  <c r="AT60" i="1"/>
  <c r="CN60" i="1"/>
  <c r="AE61" i="1"/>
  <c r="Q61" i="1" s="1"/>
  <c r="AU61" i="1"/>
  <c r="BU61" i="1"/>
  <c r="CO61" i="1"/>
  <c r="BM67" i="1"/>
  <c r="CM67" i="1"/>
  <c r="AT68" i="1"/>
  <c r="CN68" i="1"/>
  <c r="AE69" i="1"/>
  <c r="AU69" i="1"/>
  <c r="BU69" i="1"/>
  <c r="CO69" i="1"/>
  <c r="BW75" i="1"/>
  <c r="AD81" i="1"/>
  <c r="AD84" i="1"/>
  <c r="O85" i="1"/>
  <c r="BC85" i="1"/>
  <c r="CE85" i="1"/>
  <c r="O100" i="1"/>
  <c r="BL100" i="1"/>
  <c r="X5" i="2"/>
  <c r="X6" i="2" s="1"/>
  <c r="AT59" i="1"/>
  <c r="CN59" i="1"/>
  <c r="AU60" i="1"/>
  <c r="BU60" i="1"/>
  <c r="CO60" i="1"/>
  <c r="AC61" i="1"/>
  <c r="AV61" i="1"/>
  <c r="BV61" i="1"/>
  <c r="AT67" i="1"/>
  <c r="CN67" i="1"/>
  <c r="AE68" i="1"/>
  <c r="Q68" i="1" s="1"/>
  <c r="AU68" i="1"/>
  <c r="BU68" i="1"/>
  <c r="CO68" i="1"/>
  <c r="AC69" i="1"/>
  <c r="AV69" i="1"/>
  <c r="BV69" i="1"/>
  <c r="AD78" i="1"/>
  <c r="AT81" i="1"/>
  <c r="CX81" i="1"/>
  <c r="AT84" i="1"/>
  <c r="BE85" i="1"/>
  <c r="BM100" i="1"/>
  <c r="CN105" i="1"/>
  <c r="G4" i="2"/>
  <c r="AD17" i="1"/>
  <c r="CW31" i="1"/>
  <c r="BU31" i="1"/>
  <c r="BE31" i="1"/>
  <c r="AC31" i="1"/>
  <c r="CV31" i="1"/>
  <c r="CF31" i="1"/>
  <c r="BD31" i="1"/>
  <c r="AB31" i="1"/>
  <c r="S31" i="1" s="1"/>
  <c r="CE31" i="1"/>
  <c r="BC31" i="1"/>
  <c r="AM31" i="1"/>
  <c r="CO31" i="1"/>
  <c r="BM31" i="1"/>
  <c r="AK31" i="1"/>
  <c r="O31" i="1"/>
  <c r="CN31" i="1"/>
  <c r="BL31" i="1"/>
  <c r="AV31" i="1"/>
  <c r="K31" i="1"/>
  <c r="CD31" i="1"/>
  <c r="AU31" i="1"/>
  <c r="BW31" i="1"/>
  <c r="AT31" i="1"/>
  <c r="CX31" i="1"/>
  <c r="BV31" i="1"/>
  <c r="AL31" i="1"/>
  <c r="BN31" i="1"/>
  <c r="AD31" i="1"/>
  <c r="AD29" i="1"/>
  <c r="AC28" i="1"/>
  <c r="AD24" i="1"/>
  <c r="AC24" i="1"/>
  <c r="AD25" i="1"/>
  <c r="AC17" i="1"/>
  <c r="AD10" i="1"/>
  <c r="AC25" i="1"/>
  <c r="AD23" i="1"/>
  <c r="O6" i="1"/>
  <c r="AC27" i="1"/>
  <c r="AF3" i="1"/>
  <c r="AB6" i="1"/>
  <c r="O8" i="1"/>
  <c r="AC8" i="1"/>
  <c r="O12" i="1"/>
  <c r="K12" i="1"/>
  <c r="AC12" i="1"/>
  <c r="AD12" i="1"/>
  <c r="K14" i="1"/>
  <c r="AD14" i="1"/>
  <c r="AD15" i="1"/>
  <c r="AC15" i="1"/>
  <c r="AD6" i="1"/>
  <c r="BT5" i="1"/>
  <c r="AD7" i="1"/>
  <c r="AC7" i="1"/>
  <c r="AC9" i="1"/>
  <c r="O11" i="1"/>
  <c r="K11" i="1"/>
  <c r="AC11" i="1"/>
  <c r="AK6" i="1"/>
  <c r="AT6" i="1" s="1"/>
  <c r="BC6" i="1" s="1"/>
  <c r="BL6" i="1" s="1"/>
  <c r="BU6" i="1" s="1"/>
  <c r="CD6" i="1" s="1"/>
  <c r="CM6" i="1" s="1"/>
  <c r="CV6" i="1" s="1"/>
  <c r="AD9" i="1"/>
  <c r="O13" i="1"/>
  <c r="K13" i="1"/>
  <c r="AC13" i="1"/>
  <c r="AC14" i="1"/>
  <c r="K15" i="1"/>
  <c r="AC18" i="1"/>
  <c r="AL9" i="1"/>
  <c r="AC16" i="1"/>
  <c r="K18" i="1"/>
  <c r="AD18" i="1"/>
  <c r="K20" i="1"/>
  <c r="AD20" i="1"/>
  <c r="AC20" i="1"/>
  <c r="AD21" i="1"/>
  <c r="AC21" i="1"/>
  <c r="AD16" i="1"/>
  <c r="K19" i="1"/>
  <c r="AD19" i="1"/>
  <c r="AC19" i="1"/>
  <c r="O26" i="1"/>
  <c r="AD26" i="1"/>
  <c r="AC26" i="1"/>
  <c r="K26" i="1"/>
  <c r="K17" i="1"/>
  <c r="O18" i="1"/>
  <c r="AD27" i="1"/>
  <c r="O27" i="1"/>
  <c r="AC30" i="1"/>
  <c r="O30" i="1"/>
  <c r="K30" i="1"/>
  <c r="CW32" i="1"/>
  <c r="BU32" i="1"/>
  <c r="BE32" i="1"/>
  <c r="AC32" i="1"/>
  <c r="CV32" i="1"/>
  <c r="CF32" i="1"/>
  <c r="BD32" i="1"/>
  <c r="AB32" i="1"/>
  <c r="S32" i="1" s="1"/>
  <c r="CE32" i="1"/>
  <c r="BC32" i="1"/>
  <c r="AM32" i="1"/>
  <c r="CO32" i="1"/>
  <c r="BM32" i="1"/>
  <c r="AK32" i="1"/>
  <c r="O32" i="1"/>
  <c r="CN32" i="1"/>
  <c r="BL32" i="1"/>
  <c r="AV32" i="1"/>
  <c r="K32" i="1"/>
  <c r="CD32" i="1"/>
  <c r="AU32" i="1"/>
  <c r="BW32" i="1"/>
  <c r="AT32" i="1"/>
  <c r="CX32" i="1"/>
  <c r="BV32" i="1"/>
  <c r="AL32" i="1"/>
  <c r="CM32" i="1"/>
  <c r="CW33" i="1"/>
  <c r="BU33" i="1"/>
  <c r="BE33" i="1"/>
  <c r="AC33" i="1"/>
  <c r="CV33" i="1"/>
  <c r="CF33" i="1"/>
  <c r="BD33" i="1"/>
  <c r="AB33" i="1"/>
  <c r="S33" i="1" s="1"/>
  <c r="CE33" i="1"/>
  <c r="BC33" i="1"/>
  <c r="AM33" i="1"/>
  <c r="CO33" i="1"/>
  <c r="BM33" i="1"/>
  <c r="AK33" i="1"/>
  <c r="O33" i="1"/>
  <c r="CN33" i="1"/>
  <c r="BL33" i="1"/>
  <c r="AV33" i="1"/>
  <c r="K33" i="1"/>
  <c r="CM33" i="1"/>
  <c r="CW34" i="1"/>
  <c r="BU34" i="1"/>
  <c r="BE34" i="1"/>
  <c r="AC34" i="1"/>
  <c r="CV34" i="1"/>
  <c r="CF34" i="1"/>
  <c r="BD34" i="1"/>
  <c r="AB34" i="1"/>
  <c r="S34" i="1" s="1"/>
  <c r="CE34" i="1"/>
  <c r="BC34" i="1"/>
  <c r="AM34" i="1"/>
  <c r="CO34" i="1"/>
  <c r="BM34" i="1"/>
  <c r="AK34" i="1"/>
  <c r="O34" i="1"/>
  <c r="CN34" i="1"/>
  <c r="BL34" i="1"/>
  <c r="AV34" i="1"/>
  <c r="K34" i="1"/>
  <c r="CM34" i="1"/>
  <c r="Q41" i="1"/>
  <c r="CN43" i="1"/>
  <c r="BL43" i="1"/>
  <c r="AV43" i="1"/>
  <c r="K43" i="1"/>
  <c r="CM43" i="1"/>
  <c r="BW43" i="1"/>
  <c r="AU43" i="1"/>
  <c r="CX43" i="1"/>
  <c r="BV43" i="1"/>
  <c r="AT43" i="1"/>
  <c r="AD43" i="1"/>
  <c r="CW43" i="1"/>
  <c r="BU43" i="1"/>
  <c r="BE43" i="1"/>
  <c r="AC43" i="1"/>
  <c r="CV43" i="1"/>
  <c r="CF43" i="1"/>
  <c r="BD43" i="1"/>
  <c r="AB43" i="1"/>
  <c r="S43" i="1" s="1"/>
  <c r="CE43" i="1"/>
  <c r="BC43" i="1"/>
  <c r="AM43" i="1"/>
  <c r="BN43" i="1"/>
  <c r="BM43" i="1"/>
  <c r="O43" i="1"/>
  <c r="AL43" i="1"/>
  <c r="CD43" i="1"/>
  <c r="AK43" i="1"/>
  <c r="AM22" i="1"/>
  <c r="AL33" i="1"/>
  <c r="BV33" i="1"/>
  <c r="CX33" i="1"/>
  <c r="AL34" i="1"/>
  <c r="BV34" i="1"/>
  <c r="CX34" i="1"/>
  <c r="AT33" i="1"/>
  <c r="BW33" i="1"/>
  <c r="AT34" i="1"/>
  <c r="BW34" i="1"/>
  <c r="AE38" i="1"/>
  <c r="AC22" i="1"/>
  <c r="AU33" i="1"/>
  <c r="AU34" i="1"/>
  <c r="Q37" i="1"/>
  <c r="AD22" i="1"/>
  <c r="AC23" i="1"/>
  <c r="CD33" i="1"/>
  <c r="CD34" i="1"/>
  <c r="CX36" i="1"/>
  <c r="BV36" i="1"/>
  <c r="AT36" i="1"/>
  <c r="AD36" i="1"/>
  <c r="CW36" i="1"/>
  <c r="BU36" i="1"/>
  <c r="BE36" i="1"/>
  <c r="AC36" i="1"/>
  <c r="CV36" i="1"/>
  <c r="CF36" i="1"/>
  <c r="BD36" i="1"/>
  <c r="AB36" i="1"/>
  <c r="S36" i="1" s="1"/>
  <c r="CE36" i="1"/>
  <c r="BM36" i="1"/>
  <c r="AM36" i="1"/>
  <c r="CD36" i="1"/>
  <c r="BL36" i="1"/>
  <c r="AL36" i="1"/>
  <c r="AK36" i="1"/>
  <c r="CO36" i="1"/>
  <c r="BW36" i="1"/>
  <c r="O36" i="1"/>
  <c r="CN36" i="1"/>
  <c r="K36" i="1"/>
  <c r="AE46" i="1"/>
  <c r="CN39" i="1"/>
  <c r="BL39" i="1"/>
  <c r="AV39" i="1"/>
  <c r="K39" i="1"/>
  <c r="CM39" i="1"/>
  <c r="BW39" i="1"/>
  <c r="AU39" i="1"/>
  <c r="CX39" i="1"/>
  <c r="BV39" i="1"/>
  <c r="AT39" i="1"/>
  <c r="AD39" i="1"/>
  <c r="AE39" i="1" s="1"/>
  <c r="CV39" i="1"/>
  <c r="CF39" i="1"/>
  <c r="BD39" i="1"/>
  <c r="BU39" i="1"/>
  <c r="AK35" i="1"/>
  <c r="BC35" i="1"/>
  <c r="BU35" i="1"/>
  <c r="CN35" i="1"/>
  <c r="CM35" i="1"/>
  <c r="BW35" i="1"/>
  <c r="AU35" i="1"/>
  <c r="CX35" i="1"/>
  <c r="BV35" i="1"/>
  <c r="AT35" i="1"/>
  <c r="AD35" i="1"/>
  <c r="AM35" i="1"/>
  <c r="BE35" i="1"/>
  <c r="AD28" i="1"/>
  <c r="AC29" i="1"/>
  <c r="BL35" i="1"/>
  <c r="CD35" i="1"/>
  <c r="CV35" i="1"/>
  <c r="AK39" i="1"/>
  <c r="BM39" i="1"/>
  <c r="AE42" i="1"/>
  <c r="Q59" i="1"/>
  <c r="AL40" i="1"/>
  <c r="BN40" i="1"/>
  <c r="CD40" i="1"/>
  <c r="AL44" i="1"/>
  <c r="BN44" i="1"/>
  <c r="CD44" i="1"/>
  <c r="AM48" i="1"/>
  <c r="CN51" i="1"/>
  <c r="BL51" i="1"/>
  <c r="AV51" i="1"/>
  <c r="K51" i="1"/>
  <c r="CM51" i="1"/>
  <c r="BW51" i="1"/>
  <c r="AU51" i="1"/>
  <c r="CX51" i="1"/>
  <c r="BV51" i="1"/>
  <c r="AT51" i="1"/>
  <c r="AD51" i="1"/>
  <c r="CW51" i="1"/>
  <c r="BU51" i="1"/>
  <c r="BE51" i="1"/>
  <c r="AC51" i="1"/>
  <c r="CV51" i="1"/>
  <c r="CF51" i="1"/>
  <c r="BD51" i="1"/>
  <c r="AB51" i="1"/>
  <c r="S51" i="1" s="1"/>
  <c r="CE51" i="1"/>
  <c r="BC51" i="1"/>
  <c r="AM51" i="1"/>
  <c r="CE40" i="1"/>
  <c r="AM44" i="1"/>
  <c r="BC44" i="1"/>
  <c r="CE44" i="1"/>
  <c r="CX48" i="1"/>
  <c r="BV48" i="1"/>
  <c r="AT48" i="1"/>
  <c r="AD48" i="1"/>
  <c r="CV48" i="1"/>
  <c r="CF48" i="1"/>
  <c r="BD48" i="1"/>
  <c r="AB48" i="1"/>
  <c r="S48" i="1" s="1"/>
  <c r="BL48" i="1"/>
  <c r="AL37" i="1"/>
  <c r="U37" i="1"/>
  <c r="BN37" i="1"/>
  <c r="CD37" i="1"/>
  <c r="AB40" i="1"/>
  <c r="S40" i="1" s="1"/>
  <c r="BD40" i="1"/>
  <c r="CF40" i="1"/>
  <c r="CV40" i="1"/>
  <c r="AL41" i="1"/>
  <c r="P41" i="1"/>
  <c r="BN41" i="1"/>
  <c r="CD41" i="1"/>
  <c r="K42" i="1"/>
  <c r="AV42" i="1"/>
  <c r="BL42" i="1"/>
  <c r="CN42" i="1"/>
  <c r="AB44" i="1"/>
  <c r="S44" i="1" s="1"/>
  <c r="BD44" i="1"/>
  <c r="CF44" i="1"/>
  <c r="CV44" i="1"/>
  <c r="AL45" i="1"/>
  <c r="AN45" i="1" s="1"/>
  <c r="AW45" i="1" s="1"/>
  <c r="U45" i="1"/>
  <c r="BN45" i="1"/>
  <c r="CD45" i="1"/>
  <c r="O48" i="1"/>
  <c r="AU48" i="1"/>
  <c r="BM48" i="1"/>
  <c r="CD48" i="1"/>
  <c r="AE50" i="1"/>
  <c r="AL51" i="1"/>
  <c r="CE37" i="1"/>
  <c r="AC40" i="1"/>
  <c r="BE40" i="1"/>
  <c r="BU40" i="1"/>
  <c r="CW40" i="1"/>
  <c r="AC44" i="1"/>
  <c r="BE44" i="1"/>
  <c r="BU44" i="1"/>
  <c r="CW44" i="1"/>
  <c r="CN47" i="1"/>
  <c r="BL47" i="1"/>
  <c r="AV47" i="1"/>
  <c r="K47" i="1"/>
  <c r="CX47" i="1"/>
  <c r="BV47" i="1"/>
  <c r="AT47" i="1"/>
  <c r="AD47" i="1"/>
  <c r="CD47" i="1"/>
  <c r="AC48" i="1"/>
  <c r="AV48" i="1"/>
  <c r="BN48" i="1"/>
  <c r="CE48" i="1"/>
  <c r="CW48" i="1"/>
  <c r="CO51" i="1"/>
  <c r="AB37" i="1"/>
  <c r="S37" i="1" s="1"/>
  <c r="BD37" i="1"/>
  <c r="CF37" i="1"/>
  <c r="AL38" i="1"/>
  <c r="BN38" i="1"/>
  <c r="AD40" i="1"/>
  <c r="AT40" i="1"/>
  <c r="BV40" i="1"/>
  <c r="AB41" i="1"/>
  <c r="S41" i="1" s="1"/>
  <c r="BD41" i="1"/>
  <c r="CF41" i="1"/>
  <c r="AL42" i="1"/>
  <c r="BN42" i="1"/>
  <c r="AD44" i="1"/>
  <c r="AT44" i="1"/>
  <c r="BV44" i="1"/>
  <c r="AB45" i="1"/>
  <c r="S45" i="1" s="1"/>
  <c r="BD45" i="1"/>
  <c r="CF45" i="1"/>
  <c r="CD46" i="1"/>
  <c r="BN46" i="1"/>
  <c r="CN46" i="1"/>
  <c r="BL46" i="1"/>
  <c r="AV46" i="1"/>
  <c r="AL46" i="1"/>
  <c r="BD46" i="1"/>
  <c r="BV46" i="1"/>
  <c r="CO46" i="1"/>
  <c r="O47" i="1"/>
  <c r="BM47" i="1"/>
  <c r="CE47" i="1"/>
  <c r="CV47" i="1"/>
  <c r="AE54" i="1"/>
  <c r="AL52" i="1"/>
  <c r="BN52" i="1"/>
  <c r="CD52" i="1"/>
  <c r="AM52" i="1"/>
  <c r="BC52" i="1"/>
  <c r="CE52" i="1"/>
  <c r="AL49" i="1"/>
  <c r="BN49" i="1"/>
  <c r="CD49" i="1"/>
  <c r="BL50" i="1"/>
  <c r="CN50" i="1"/>
  <c r="AB52" i="1"/>
  <c r="S52" i="1" s="1"/>
  <c r="BD52" i="1"/>
  <c r="CF52" i="1"/>
  <c r="CV52" i="1"/>
  <c r="AL53" i="1"/>
  <c r="BN53" i="1"/>
  <c r="CD53" i="1"/>
  <c r="AL54" i="1"/>
  <c r="BN54" i="1"/>
  <c r="CD54" i="1"/>
  <c r="AL55" i="1"/>
  <c r="U55" i="1"/>
  <c r="BN55" i="1"/>
  <c r="CD55" i="1"/>
  <c r="AL56" i="1"/>
  <c r="BN56" i="1"/>
  <c r="CD56" i="1"/>
  <c r="AL57" i="1"/>
  <c r="BN57" i="1"/>
  <c r="CD57" i="1"/>
  <c r="AL58" i="1"/>
  <c r="BN58" i="1"/>
  <c r="CD58" i="1"/>
  <c r="AL59" i="1"/>
  <c r="BN59" i="1"/>
  <c r="CD59" i="1"/>
  <c r="AL60" i="1"/>
  <c r="BN60" i="1"/>
  <c r="CD60" i="1"/>
  <c r="AL61" i="1"/>
  <c r="U61" i="1"/>
  <c r="BN61" i="1"/>
  <c r="CD61" i="1"/>
  <c r="AL62" i="1"/>
  <c r="BN62" i="1"/>
  <c r="CD62" i="1"/>
  <c r="AL63" i="1"/>
  <c r="BN63" i="1"/>
  <c r="CD63" i="1"/>
  <c r="AL64" i="1"/>
  <c r="BN64" i="1"/>
  <c r="CD64" i="1"/>
  <c r="AL65" i="1"/>
  <c r="BN65" i="1"/>
  <c r="CD65" i="1"/>
  <c r="AL66" i="1"/>
  <c r="BN66" i="1"/>
  <c r="CD66" i="1"/>
  <c r="AL67" i="1"/>
  <c r="AN67" i="1" s="1"/>
  <c r="AW67" i="1" s="1"/>
  <c r="U67" i="1"/>
  <c r="BN67" i="1"/>
  <c r="CD67" i="1"/>
  <c r="AL68" i="1"/>
  <c r="BN68" i="1"/>
  <c r="CD68" i="1"/>
  <c r="AL69" i="1"/>
  <c r="BN69" i="1"/>
  <c r="CD69" i="1"/>
  <c r="AL70" i="1"/>
  <c r="BN70" i="1"/>
  <c r="CD70" i="1"/>
  <c r="AL71" i="1"/>
  <c r="BN71" i="1"/>
  <c r="CD71" i="1"/>
  <c r="AL72" i="1"/>
  <c r="BN72" i="1"/>
  <c r="CD72" i="1"/>
  <c r="CW73" i="1"/>
  <c r="BU73" i="1"/>
  <c r="CV73" i="1"/>
  <c r="CF73" i="1"/>
  <c r="CO73" i="1"/>
  <c r="CN73" i="1"/>
  <c r="BL73" i="1"/>
  <c r="AL73" i="1"/>
  <c r="CM73" i="1"/>
  <c r="CW74" i="1"/>
  <c r="BU74" i="1"/>
  <c r="BE74" i="1"/>
  <c r="AC74" i="1"/>
  <c r="CV74" i="1"/>
  <c r="CF74" i="1"/>
  <c r="BD74" i="1"/>
  <c r="AB74" i="1"/>
  <c r="S74" i="1" s="1"/>
  <c r="CE74" i="1"/>
  <c r="BC74" i="1"/>
  <c r="AM74" i="1"/>
  <c r="CO74" i="1"/>
  <c r="BM74" i="1"/>
  <c r="AK74" i="1"/>
  <c r="O74" i="1"/>
  <c r="CN74" i="1"/>
  <c r="BL74" i="1"/>
  <c r="AV74" i="1"/>
  <c r="K74" i="1"/>
  <c r="CM74" i="1"/>
  <c r="AB49" i="1"/>
  <c r="S49" i="1" s="1"/>
  <c r="BD49" i="1"/>
  <c r="CF49" i="1"/>
  <c r="AL50" i="1"/>
  <c r="BN50" i="1"/>
  <c r="AD52" i="1"/>
  <c r="AT52" i="1"/>
  <c r="BV52" i="1"/>
  <c r="AB53" i="1"/>
  <c r="S53" i="1" s="1"/>
  <c r="BD53" i="1"/>
  <c r="CF53" i="1"/>
  <c r="AB54" i="1"/>
  <c r="S54" i="1" s="1"/>
  <c r="BD54" i="1"/>
  <c r="CF54" i="1"/>
  <c r="AB55" i="1"/>
  <c r="S55" i="1" s="1"/>
  <c r="BD55" i="1"/>
  <c r="CF55" i="1"/>
  <c r="AB56" i="1"/>
  <c r="S56" i="1" s="1"/>
  <c r="BD56" i="1"/>
  <c r="CF56" i="1"/>
  <c r="AB57" i="1"/>
  <c r="S57" i="1" s="1"/>
  <c r="BD57" i="1"/>
  <c r="CF57" i="1"/>
  <c r="AB58" i="1"/>
  <c r="S58" i="1" s="1"/>
  <c r="BD58" i="1"/>
  <c r="CF58" i="1"/>
  <c r="AB59" i="1"/>
  <c r="S59" i="1" s="1"/>
  <c r="BD59" i="1"/>
  <c r="CF59" i="1"/>
  <c r="AB60" i="1"/>
  <c r="S60" i="1" s="1"/>
  <c r="BD60" i="1"/>
  <c r="CF60" i="1"/>
  <c r="AB61" i="1"/>
  <c r="S61" i="1" s="1"/>
  <c r="BD61" i="1"/>
  <c r="CF61" i="1"/>
  <c r="AB62" i="1"/>
  <c r="S62" i="1" s="1"/>
  <c r="BD62" i="1"/>
  <c r="CF62" i="1"/>
  <c r="AB63" i="1"/>
  <c r="S63" i="1" s="1"/>
  <c r="BD63" i="1"/>
  <c r="CF63" i="1"/>
  <c r="AB64" i="1"/>
  <c r="S64" i="1" s="1"/>
  <c r="BD64" i="1"/>
  <c r="CF64" i="1"/>
  <c r="AB65" i="1"/>
  <c r="S65" i="1" s="1"/>
  <c r="BD65" i="1"/>
  <c r="CF65" i="1"/>
  <c r="AB66" i="1"/>
  <c r="S66" i="1" s="1"/>
  <c r="BD66" i="1"/>
  <c r="CF66" i="1"/>
  <c r="AB67" i="1"/>
  <c r="S67" i="1" s="1"/>
  <c r="BD67" i="1"/>
  <c r="CF67" i="1"/>
  <c r="AB68" i="1"/>
  <c r="S68" i="1" s="1"/>
  <c r="BD68" i="1"/>
  <c r="CF68" i="1"/>
  <c r="AB69" i="1"/>
  <c r="S69" i="1" s="1"/>
  <c r="BD69" i="1"/>
  <c r="CF69" i="1"/>
  <c r="AB70" i="1"/>
  <c r="S70" i="1" s="1"/>
  <c r="BD70" i="1"/>
  <c r="CF70" i="1"/>
  <c r="AB71" i="1"/>
  <c r="S71" i="1" s="1"/>
  <c r="BD71" i="1"/>
  <c r="CF71" i="1"/>
  <c r="AB72" i="1"/>
  <c r="S72" i="1" s="1"/>
  <c r="BD72" i="1"/>
  <c r="CF72" i="1"/>
  <c r="AB73" i="1"/>
  <c r="S73" i="1" s="1"/>
  <c r="BD73" i="1"/>
  <c r="BV73" i="1"/>
  <c r="CX74" i="1"/>
  <c r="BW81" i="1"/>
  <c r="CM81" i="1"/>
  <c r="BW82" i="1"/>
  <c r="CM82" i="1"/>
  <c r="BW83" i="1"/>
  <c r="CM83" i="1"/>
  <c r="BW84" i="1"/>
  <c r="CM84" i="1"/>
  <c r="K75" i="1"/>
  <c r="AV75" i="1"/>
  <c r="BL75" i="1"/>
  <c r="CN75" i="1"/>
  <c r="K76" i="1"/>
  <c r="AV76" i="1"/>
  <c r="BL76" i="1"/>
  <c r="CN76" i="1"/>
  <c r="K77" i="1"/>
  <c r="AV77" i="1"/>
  <c r="BL77" i="1"/>
  <c r="CN77" i="1"/>
  <c r="K78" i="1"/>
  <c r="AV78" i="1"/>
  <c r="BL78" i="1"/>
  <c r="CN78" i="1"/>
  <c r="K79" i="1"/>
  <c r="AV79" i="1"/>
  <c r="BL79" i="1"/>
  <c r="CN79" i="1"/>
  <c r="K80" i="1"/>
  <c r="AV80" i="1"/>
  <c r="BL80" i="1"/>
  <c r="CN80" i="1"/>
  <c r="K81" i="1"/>
  <c r="AV81" i="1"/>
  <c r="BL81" i="1"/>
  <c r="CN81" i="1"/>
  <c r="K82" i="1"/>
  <c r="AV82" i="1"/>
  <c r="BL82" i="1"/>
  <c r="CN82" i="1"/>
  <c r="K83" i="1"/>
  <c r="AV83" i="1"/>
  <c r="BL83" i="1"/>
  <c r="CN83" i="1"/>
  <c r="AV84" i="1"/>
  <c r="BL84" i="1"/>
  <c r="CO84" i="1"/>
  <c r="O75" i="1"/>
  <c r="AK75" i="1"/>
  <c r="BM75" i="1"/>
  <c r="CO75" i="1"/>
  <c r="O76" i="1"/>
  <c r="AK76" i="1"/>
  <c r="BM76" i="1"/>
  <c r="CO76" i="1"/>
  <c r="O77" i="1"/>
  <c r="AK77" i="1"/>
  <c r="BM77" i="1"/>
  <c r="CO77" i="1"/>
  <c r="O78" i="1"/>
  <c r="AK78" i="1"/>
  <c r="BM78" i="1"/>
  <c r="CO78" i="1"/>
  <c r="O79" i="1"/>
  <c r="AK79" i="1"/>
  <c r="BM79" i="1"/>
  <c r="CO79" i="1"/>
  <c r="O80" i="1"/>
  <c r="AK80" i="1"/>
  <c r="BM80" i="1"/>
  <c r="CO80" i="1"/>
  <c r="O81" i="1"/>
  <c r="AK81" i="1"/>
  <c r="BM81" i="1"/>
  <c r="CO81" i="1"/>
  <c r="O82" i="1"/>
  <c r="AK82" i="1"/>
  <c r="BM82" i="1"/>
  <c r="CO82" i="1"/>
  <c r="O83" i="1"/>
  <c r="AK83" i="1"/>
  <c r="BM83" i="1"/>
  <c r="CO83" i="1"/>
  <c r="O84" i="1"/>
  <c r="AK84" i="1"/>
  <c r="BM84" i="1"/>
  <c r="AL75" i="1"/>
  <c r="BN75" i="1"/>
  <c r="CD75" i="1"/>
  <c r="AL76" i="1"/>
  <c r="BN76" i="1"/>
  <c r="CD76" i="1"/>
  <c r="AL77" i="1"/>
  <c r="BN77" i="1"/>
  <c r="CD77" i="1"/>
  <c r="AL78" i="1"/>
  <c r="BN78" i="1"/>
  <c r="CD78" i="1"/>
  <c r="AL79" i="1"/>
  <c r="BN79" i="1"/>
  <c r="CD79" i="1"/>
  <c r="AL80" i="1"/>
  <c r="BN80" i="1"/>
  <c r="CD80" i="1"/>
  <c r="AL81" i="1"/>
  <c r="BN81" i="1"/>
  <c r="CD81" i="1"/>
  <c r="AL82" i="1"/>
  <c r="BN82" i="1"/>
  <c r="CD82" i="1"/>
  <c r="AL83" i="1"/>
  <c r="BN83" i="1"/>
  <c r="CD83" i="1"/>
  <c r="AL84" i="1"/>
  <c r="BN84" i="1"/>
  <c r="CD84" i="1"/>
  <c r="CM87" i="1"/>
  <c r="BW87" i="1"/>
  <c r="AU87" i="1"/>
  <c r="CX87" i="1"/>
  <c r="BV87" i="1"/>
  <c r="AT87" i="1"/>
  <c r="AD87" i="1"/>
  <c r="CW87" i="1"/>
  <c r="BU87" i="1"/>
  <c r="BE87" i="1"/>
  <c r="AC87" i="1"/>
  <c r="CV87" i="1"/>
  <c r="CF87" i="1"/>
  <c r="BD87" i="1"/>
  <c r="AB87" i="1"/>
  <c r="S87" i="1" s="1"/>
  <c r="CE87" i="1"/>
  <c r="BC87" i="1"/>
  <c r="AM87" i="1"/>
  <c r="CD87" i="1"/>
  <c r="BN87" i="1"/>
  <c r="CO87" i="1"/>
  <c r="BM87" i="1"/>
  <c r="AK87" i="1"/>
  <c r="O87" i="1"/>
  <c r="CN87" i="1"/>
  <c r="BL87" i="1"/>
  <c r="AV87" i="1"/>
  <c r="K87" i="1"/>
  <c r="AM75" i="1"/>
  <c r="BC75" i="1"/>
  <c r="CE75" i="1"/>
  <c r="AM76" i="1"/>
  <c r="BC76" i="1"/>
  <c r="CE76" i="1"/>
  <c r="AM77" i="1"/>
  <c r="BC77" i="1"/>
  <c r="CE77" i="1"/>
  <c r="AM78" i="1"/>
  <c r="BC78" i="1"/>
  <c r="CE78" i="1"/>
  <c r="AM79" i="1"/>
  <c r="BC79" i="1"/>
  <c r="CE79" i="1"/>
  <c r="AM80" i="1"/>
  <c r="BC80" i="1"/>
  <c r="CE80" i="1"/>
  <c r="AM81" i="1"/>
  <c r="BC81" i="1"/>
  <c r="CE81" i="1"/>
  <c r="AM82" i="1"/>
  <c r="BC82" i="1"/>
  <c r="CE82" i="1"/>
  <c r="AM83" i="1"/>
  <c r="BC83" i="1"/>
  <c r="CE83" i="1"/>
  <c r="AM84" i="1"/>
  <c r="BC84" i="1"/>
  <c r="CE84" i="1"/>
  <c r="CV84" i="1"/>
  <c r="BV86" i="1"/>
  <c r="AL87" i="1"/>
  <c r="AB75" i="1"/>
  <c r="S75" i="1" s="1"/>
  <c r="BD75" i="1"/>
  <c r="CF75" i="1"/>
  <c r="CV75" i="1"/>
  <c r="AB76" i="1"/>
  <c r="S76" i="1" s="1"/>
  <c r="BD76" i="1"/>
  <c r="CF76" i="1"/>
  <c r="CV76" i="1"/>
  <c r="AB77" i="1"/>
  <c r="S77" i="1" s="1"/>
  <c r="BD77" i="1"/>
  <c r="CF77" i="1"/>
  <c r="CV77" i="1"/>
  <c r="AB78" i="1"/>
  <c r="S78" i="1" s="1"/>
  <c r="BD78" i="1"/>
  <c r="CF78" i="1"/>
  <c r="CV78" i="1"/>
  <c r="AB79" i="1"/>
  <c r="S79" i="1" s="1"/>
  <c r="BD79" i="1"/>
  <c r="CF79" i="1"/>
  <c r="CV79" i="1"/>
  <c r="AB80" i="1"/>
  <c r="S80" i="1" s="1"/>
  <c r="BD80" i="1"/>
  <c r="CF80" i="1"/>
  <c r="CV80" i="1"/>
  <c r="AB81" i="1"/>
  <c r="S81" i="1" s="1"/>
  <c r="BD81" i="1"/>
  <c r="CF81" i="1"/>
  <c r="CV81" i="1"/>
  <c r="AB82" i="1"/>
  <c r="S82" i="1" s="1"/>
  <c r="BD82" i="1"/>
  <c r="CF82" i="1"/>
  <c r="CV82" i="1"/>
  <c r="AB83" i="1"/>
  <c r="S83" i="1" s="1"/>
  <c r="BD83" i="1"/>
  <c r="CF83" i="1"/>
  <c r="CV83" i="1"/>
  <c r="AB84" i="1"/>
  <c r="S84" i="1" s="1"/>
  <c r="BD84" i="1"/>
  <c r="CF84" i="1"/>
  <c r="CW84" i="1"/>
  <c r="CM85" i="1"/>
  <c r="BW85" i="1"/>
  <c r="AU85" i="1"/>
  <c r="CV85" i="1"/>
  <c r="CF85" i="1"/>
  <c r="BD85" i="1"/>
  <c r="AB85" i="1"/>
  <c r="S85" i="1" s="1"/>
  <c r="CO85" i="1"/>
  <c r="CN85" i="1"/>
  <c r="BL85" i="1"/>
  <c r="AV85" i="1"/>
  <c r="K85" i="1"/>
  <c r="AT85" i="1"/>
  <c r="AC75" i="1"/>
  <c r="BE75" i="1"/>
  <c r="BU75" i="1"/>
  <c r="AC76" i="1"/>
  <c r="BE76" i="1"/>
  <c r="BU76" i="1"/>
  <c r="AC77" i="1"/>
  <c r="BE77" i="1"/>
  <c r="BU77" i="1"/>
  <c r="AC78" i="1"/>
  <c r="BE78" i="1"/>
  <c r="BU78" i="1"/>
  <c r="AC79" i="1"/>
  <c r="BE79" i="1"/>
  <c r="BU79" i="1"/>
  <c r="AC80" i="1"/>
  <c r="BE80" i="1"/>
  <c r="BU80" i="1"/>
  <c r="AC81" i="1"/>
  <c r="BE81" i="1"/>
  <c r="BU81" i="1"/>
  <c r="AC82" i="1"/>
  <c r="BE82" i="1"/>
  <c r="BU82" i="1"/>
  <c r="AC83" i="1"/>
  <c r="BE83" i="1"/>
  <c r="BU83" i="1"/>
  <c r="AC84" i="1"/>
  <c r="BE84" i="1"/>
  <c r="BU84" i="1"/>
  <c r="CX84" i="1"/>
  <c r="CM86" i="1"/>
  <c r="BW86" i="1"/>
  <c r="AU86" i="1"/>
  <c r="CX86" i="1"/>
  <c r="CW86" i="1"/>
  <c r="BU86" i="1"/>
  <c r="BE86" i="1"/>
  <c r="CV86" i="1"/>
  <c r="CF86" i="1"/>
  <c r="BD86" i="1"/>
  <c r="AB86" i="1"/>
  <c r="S86" i="1" s="1"/>
  <c r="CE86" i="1"/>
  <c r="CO86" i="1"/>
  <c r="BM86" i="1"/>
  <c r="AK86" i="1"/>
  <c r="O86" i="1"/>
  <c r="CN86" i="1"/>
  <c r="BL86" i="1"/>
  <c r="AV86" i="1"/>
  <c r="K86" i="1"/>
  <c r="CD86" i="1"/>
  <c r="K88" i="1"/>
  <c r="AV88" i="1"/>
  <c r="BL88" i="1"/>
  <c r="CN88" i="1"/>
  <c r="K89" i="1"/>
  <c r="AV89" i="1"/>
  <c r="BL89" i="1"/>
  <c r="CN89" i="1"/>
  <c r="K90" i="1"/>
  <c r="AV90" i="1"/>
  <c r="BL90" i="1"/>
  <c r="CN90" i="1"/>
  <c r="K91" i="1"/>
  <c r="AV91" i="1"/>
  <c r="BL91" i="1"/>
  <c r="CN91" i="1"/>
  <c r="K92" i="1"/>
  <c r="AV92" i="1"/>
  <c r="BL92" i="1"/>
  <c r="CN92" i="1"/>
  <c r="K93" i="1"/>
  <c r="AV93" i="1"/>
  <c r="BL93" i="1"/>
  <c r="CN93" i="1"/>
  <c r="CW94" i="1"/>
  <c r="BU94" i="1"/>
  <c r="BE94" i="1"/>
  <c r="AC94" i="1"/>
  <c r="AM94" i="1"/>
  <c r="BD94" i="1"/>
  <c r="BV94" i="1"/>
  <c r="CM94" i="1"/>
  <c r="K95" i="1"/>
  <c r="AL95" i="1"/>
  <c r="BC95" i="1"/>
  <c r="BV95" i="1"/>
  <c r="BC96" i="1"/>
  <c r="O88" i="1"/>
  <c r="AK88" i="1"/>
  <c r="BM88" i="1"/>
  <c r="CO88" i="1"/>
  <c r="O89" i="1"/>
  <c r="AK89" i="1"/>
  <c r="BM89" i="1"/>
  <c r="CO89" i="1"/>
  <c r="O90" i="1"/>
  <c r="AK90" i="1"/>
  <c r="BM90" i="1"/>
  <c r="CO90" i="1"/>
  <c r="O91" i="1"/>
  <c r="AK91" i="1"/>
  <c r="BM91" i="1"/>
  <c r="CO91" i="1"/>
  <c r="O92" i="1"/>
  <c r="AK92" i="1"/>
  <c r="BM92" i="1"/>
  <c r="CO92" i="1"/>
  <c r="O93" i="1"/>
  <c r="AK93" i="1"/>
  <c r="BM93" i="1"/>
  <c r="CO93" i="1"/>
  <c r="BW94" i="1"/>
  <c r="CN94" i="1"/>
  <c r="CW95" i="1"/>
  <c r="BU95" i="1"/>
  <c r="BE95" i="1"/>
  <c r="AC95" i="1"/>
  <c r="CV95" i="1"/>
  <c r="CF95" i="1"/>
  <c r="BD95" i="1"/>
  <c r="AM95" i="1"/>
  <c r="BW95" i="1"/>
  <c r="CO95" i="1"/>
  <c r="AK96" i="1"/>
  <c r="AL88" i="1"/>
  <c r="BN88" i="1"/>
  <c r="CD88" i="1"/>
  <c r="AL89" i="1"/>
  <c r="BN89" i="1"/>
  <c r="CD89" i="1"/>
  <c r="AL90" i="1"/>
  <c r="BN90" i="1"/>
  <c r="CD90" i="1"/>
  <c r="AL91" i="1"/>
  <c r="BN91" i="1"/>
  <c r="CD91" i="1"/>
  <c r="AL92" i="1"/>
  <c r="BN92" i="1"/>
  <c r="CD92" i="1"/>
  <c r="AL93" i="1"/>
  <c r="BN93" i="1"/>
  <c r="CD93" i="1"/>
  <c r="CO94" i="1"/>
  <c r="AL96" i="1"/>
  <c r="BL96" i="1"/>
  <c r="CD96" i="1"/>
  <c r="AM88" i="1"/>
  <c r="BC88" i="1"/>
  <c r="CE88" i="1"/>
  <c r="AM89" i="1"/>
  <c r="BC89" i="1"/>
  <c r="CE89" i="1"/>
  <c r="AM90" i="1"/>
  <c r="BC90" i="1"/>
  <c r="CE90" i="1"/>
  <c r="AM91" i="1"/>
  <c r="BC91" i="1"/>
  <c r="CE91" i="1"/>
  <c r="AM92" i="1"/>
  <c r="BC92" i="1"/>
  <c r="CE92" i="1"/>
  <c r="AM93" i="1"/>
  <c r="BC93" i="1"/>
  <c r="CE93" i="1"/>
  <c r="AD94" i="1"/>
  <c r="AU94" i="1"/>
  <c r="BL94" i="1"/>
  <c r="AB95" i="1"/>
  <c r="S95" i="1" s="1"/>
  <c r="AT95" i="1"/>
  <c r="BL95" i="1"/>
  <c r="AM96" i="1"/>
  <c r="BM96" i="1"/>
  <c r="CE96" i="1"/>
  <c r="AB88" i="1"/>
  <c r="S88" i="1" s="1"/>
  <c r="BD88" i="1"/>
  <c r="CF88" i="1"/>
  <c r="CV88" i="1"/>
  <c r="AB89" i="1"/>
  <c r="S89" i="1" s="1"/>
  <c r="BD89" i="1"/>
  <c r="CF89" i="1"/>
  <c r="CV89" i="1"/>
  <c r="AB90" i="1"/>
  <c r="S90" i="1" s="1"/>
  <c r="BD90" i="1"/>
  <c r="CF90" i="1"/>
  <c r="CV90" i="1"/>
  <c r="AB91" i="1"/>
  <c r="S91" i="1" s="1"/>
  <c r="BD91" i="1"/>
  <c r="CF91" i="1"/>
  <c r="CV91" i="1"/>
  <c r="AB92" i="1"/>
  <c r="S92" i="1" s="1"/>
  <c r="BD92" i="1"/>
  <c r="CF92" i="1"/>
  <c r="CV92" i="1"/>
  <c r="AB93" i="1"/>
  <c r="S93" i="1" s="1"/>
  <c r="BD93" i="1"/>
  <c r="CF93" i="1"/>
  <c r="CV93" i="1"/>
  <c r="AV94" i="1"/>
  <c r="BM94" i="1"/>
  <c r="CD94" i="1"/>
  <c r="AD95" i="1"/>
  <c r="AU95" i="1"/>
  <c r="BM95" i="1"/>
  <c r="CD95" i="1"/>
  <c r="CX95" i="1"/>
  <c r="AT96" i="1"/>
  <c r="AC88" i="1"/>
  <c r="BE88" i="1"/>
  <c r="BU88" i="1"/>
  <c r="CW88" i="1"/>
  <c r="AC89" i="1"/>
  <c r="BE89" i="1"/>
  <c r="BU89" i="1"/>
  <c r="CW89" i="1"/>
  <c r="AC90" i="1"/>
  <c r="BE90" i="1"/>
  <c r="BU90" i="1"/>
  <c r="CW90" i="1"/>
  <c r="AC91" i="1"/>
  <c r="BE91" i="1"/>
  <c r="BU91" i="1"/>
  <c r="CW91" i="1"/>
  <c r="AC92" i="1"/>
  <c r="BE92" i="1"/>
  <c r="BU92" i="1"/>
  <c r="CW92" i="1"/>
  <c r="AC93" i="1"/>
  <c r="BE93" i="1"/>
  <c r="BU93" i="1"/>
  <c r="CX93" i="1"/>
  <c r="BN94" i="1"/>
  <c r="CE94" i="1"/>
  <c r="CV94" i="1"/>
  <c r="AV95" i="1"/>
  <c r="BN95" i="1"/>
  <c r="CE95" i="1"/>
  <c r="CM96" i="1"/>
  <c r="BW96" i="1"/>
  <c r="AU96" i="1"/>
  <c r="CX96" i="1"/>
  <c r="CW96" i="1"/>
  <c r="BU96" i="1"/>
  <c r="BE96" i="1"/>
  <c r="AC96" i="1"/>
  <c r="CV96" i="1"/>
  <c r="CF96" i="1"/>
  <c r="BD96" i="1"/>
  <c r="AB96" i="1"/>
  <c r="S96" i="1" s="1"/>
  <c r="AV96" i="1"/>
  <c r="CN96" i="1"/>
  <c r="AD88" i="1"/>
  <c r="AT88" i="1"/>
  <c r="BV88" i="1"/>
  <c r="CX88" i="1"/>
  <c r="AD89" i="1"/>
  <c r="AT89" i="1"/>
  <c r="BV89" i="1"/>
  <c r="CX89" i="1"/>
  <c r="AD90" i="1"/>
  <c r="AT90" i="1"/>
  <c r="BV90" i="1"/>
  <c r="CX90" i="1"/>
  <c r="AD91" i="1"/>
  <c r="AT91" i="1"/>
  <c r="BV91" i="1"/>
  <c r="CX91" i="1"/>
  <c r="AD92" i="1"/>
  <c r="AT92" i="1"/>
  <c r="BV92" i="1"/>
  <c r="CX92" i="1"/>
  <c r="AD93" i="1"/>
  <c r="AT93" i="1"/>
  <c r="BV93" i="1"/>
  <c r="AK94" i="1"/>
  <c r="CF94" i="1"/>
  <c r="CX94" i="1"/>
  <c r="K96" i="1"/>
  <c r="CO96" i="1"/>
  <c r="AU88" i="1"/>
  <c r="BW88" i="1"/>
  <c r="AU89" i="1"/>
  <c r="BW89" i="1"/>
  <c r="AU90" i="1"/>
  <c r="BW90" i="1"/>
  <c r="AU91" i="1"/>
  <c r="BW91" i="1"/>
  <c r="AU92" i="1"/>
  <c r="BW92" i="1"/>
  <c r="AU93" i="1"/>
  <c r="BW93" i="1"/>
  <c r="CM93" i="1"/>
  <c r="K94" i="1"/>
  <c r="AL94" i="1"/>
  <c r="BC94" i="1"/>
  <c r="AK95" i="1"/>
  <c r="CM95" i="1"/>
  <c r="O96" i="1"/>
  <c r="AD96" i="1"/>
  <c r="BV96" i="1"/>
  <c r="AL97" i="1"/>
  <c r="BN97" i="1"/>
  <c r="CD97" i="1"/>
  <c r="AL98" i="1"/>
  <c r="BN98" i="1"/>
  <c r="CD98" i="1"/>
  <c r="AL99" i="1"/>
  <c r="BN99" i="1"/>
  <c r="CD99" i="1"/>
  <c r="AL100" i="1"/>
  <c r="BN100" i="1"/>
  <c r="CD100" i="1"/>
  <c r="AL101" i="1"/>
  <c r="BN101" i="1"/>
  <c r="CD101" i="1"/>
  <c r="AL102" i="1"/>
  <c r="BN102" i="1"/>
  <c r="CD102" i="1"/>
  <c r="AL103" i="1"/>
  <c r="BN103" i="1"/>
  <c r="CD103" i="1"/>
  <c r="AL104" i="1"/>
  <c r="BN104" i="1"/>
  <c r="CD104" i="1"/>
  <c r="AL105" i="1"/>
  <c r="BN105" i="1"/>
  <c r="CD105" i="1"/>
  <c r="AM104" i="1"/>
  <c r="BC104" i="1"/>
  <c r="CE104" i="1"/>
  <c r="AM105" i="1"/>
  <c r="BC105" i="1"/>
  <c r="CE105" i="1"/>
  <c r="AB97" i="1"/>
  <c r="S97" i="1" s="1"/>
  <c r="BD97" i="1"/>
  <c r="CF97" i="1"/>
  <c r="CV97" i="1"/>
  <c r="AB98" i="1"/>
  <c r="S98" i="1" s="1"/>
  <c r="BD98" i="1"/>
  <c r="CF98" i="1"/>
  <c r="CV98" i="1"/>
  <c r="AB99" i="1"/>
  <c r="S99" i="1" s="1"/>
  <c r="BD99" i="1"/>
  <c r="CF99" i="1"/>
  <c r="CV99" i="1"/>
  <c r="AB100" i="1"/>
  <c r="S100" i="1" s="1"/>
  <c r="BD100" i="1"/>
  <c r="CF100" i="1"/>
  <c r="CV100" i="1"/>
  <c r="AB101" i="1"/>
  <c r="S101" i="1" s="1"/>
  <c r="BD101" i="1"/>
  <c r="CF101" i="1"/>
  <c r="CV101" i="1"/>
  <c r="AB102" i="1"/>
  <c r="S102" i="1" s="1"/>
  <c r="BD102" i="1"/>
  <c r="CF102" i="1"/>
  <c r="CV102" i="1"/>
  <c r="AB103" i="1"/>
  <c r="S103" i="1" s="1"/>
  <c r="BD103" i="1"/>
  <c r="CF103" i="1"/>
  <c r="CV103" i="1"/>
  <c r="AB104" i="1"/>
  <c r="S104" i="1" s="1"/>
  <c r="BD104" i="1"/>
  <c r="CF104" i="1"/>
  <c r="CV104" i="1"/>
  <c r="AB105" i="1"/>
  <c r="S105" i="1" s="1"/>
  <c r="BD105" i="1"/>
  <c r="CF105" i="1"/>
  <c r="CV105" i="1"/>
  <c r="AC97" i="1"/>
  <c r="BE97" i="1"/>
  <c r="BU97" i="1"/>
  <c r="CW97" i="1"/>
  <c r="AC98" i="1"/>
  <c r="BE98" i="1"/>
  <c r="BU98" i="1"/>
  <c r="CW98" i="1"/>
  <c r="AC99" i="1"/>
  <c r="BE99" i="1"/>
  <c r="BU99" i="1"/>
  <c r="CW99" i="1"/>
  <c r="AC100" i="1"/>
  <c r="BE100" i="1"/>
  <c r="BU100" i="1"/>
  <c r="CW100" i="1"/>
  <c r="AC101" i="1"/>
  <c r="BE101" i="1"/>
  <c r="BU101" i="1"/>
  <c r="CW101" i="1"/>
  <c r="AC102" i="1"/>
  <c r="BE102" i="1"/>
  <c r="BU102" i="1"/>
  <c r="CW102" i="1"/>
  <c r="AC103" i="1"/>
  <c r="BE103" i="1"/>
  <c r="BU103" i="1"/>
  <c r="CW103" i="1"/>
  <c r="AC104" i="1"/>
  <c r="BE104" i="1"/>
  <c r="BU104" i="1"/>
  <c r="CW104" i="1"/>
  <c r="AC105" i="1"/>
  <c r="BE105" i="1"/>
  <c r="BU105" i="1"/>
  <c r="CW105" i="1"/>
  <c r="AD97" i="1"/>
  <c r="AE97" i="1" s="1"/>
  <c r="AT97" i="1"/>
  <c r="BV97" i="1"/>
  <c r="CX97" i="1"/>
  <c r="AD98" i="1"/>
  <c r="AE98" i="1" s="1"/>
  <c r="AT98" i="1"/>
  <c r="BV98" i="1"/>
  <c r="CX98" i="1"/>
  <c r="AD99" i="1"/>
  <c r="AT99" i="1"/>
  <c r="BV99" i="1"/>
  <c r="CX99" i="1"/>
  <c r="AD100" i="1"/>
  <c r="AE100" i="1" s="1"/>
  <c r="AT100" i="1"/>
  <c r="BV100" i="1"/>
  <c r="CX100" i="1"/>
  <c r="AD101" i="1"/>
  <c r="AT101" i="1"/>
  <c r="BV101" i="1"/>
  <c r="CX101" i="1"/>
  <c r="AD102" i="1"/>
  <c r="AE102" i="1" s="1"/>
  <c r="AT102" i="1"/>
  <c r="BV102" i="1"/>
  <c r="CX102" i="1"/>
  <c r="AD103" i="1"/>
  <c r="AE103" i="1" s="1"/>
  <c r="AT103" i="1"/>
  <c r="BV103" i="1"/>
  <c r="CX103" i="1"/>
  <c r="AD104" i="1"/>
  <c r="AE104" i="1" s="1"/>
  <c r="AT104" i="1"/>
  <c r="BV104" i="1"/>
  <c r="CX104" i="1"/>
  <c r="AD105" i="1"/>
  <c r="AT105" i="1"/>
  <c r="BV105" i="1"/>
  <c r="CX105" i="1"/>
  <c r="AU97" i="1"/>
  <c r="BW97" i="1"/>
  <c r="AU98" i="1"/>
  <c r="BW98" i="1"/>
  <c r="AU99" i="1"/>
  <c r="BW99" i="1"/>
  <c r="AU100" i="1"/>
  <c r="BW100" i="1"/>
  <c r="AU101" i="1"/>
  <c r="BW101" i="1"/>
  <c r="AU102" i="1"/>
  <c r="BW102" i="1"/>
  <c r="AU103" i="1"/>
  <c r="BW103" i="1"/>
  <c r="AU104" i="1"/>
  <c r="BW104" i="1"/>
  <c r="AU105" i="1"/>
  <c r="BW105" i="1"/>
  <c r="AE101" i="1" l="1"/>
  <c r="AE99" i="1"/>
  <c r="P64" i="1"/>
  <c r="AN55" i="1"/>
  <c r="AW55" i="1" s="1"/>
  <c r="AE40" i="1"/>
  <c r="AN40" i="1" s="1"/>
  <c r="AW40" i="1" s="1"/>
  <c r="BF40" i="1" s="1"/>
  <c r="BO40" i="1" s="1"/>
  <c r="BX40" i="1" s="1"/>
  <c r="CG40" i="1" s="1"/>
  <c r="CP40" i="1" s="1"/>
  <c r="CY40" i="1" s="1"/>
  <c r="P59" i="1"/>
  <c r="P57" i="1"/>
  <c r="AN59" i="1"/>
  <c r="AW59" i="1" s="1"/>
  <c r="BF59" i="1" s="1"/>
  <c r="BO59" i="1" s="1"/>
  <c r="BX59" i="1" s="1"/>
  <c r="CG59" i="1" s="1"/>
  <c r="CP59" i="1" s="1"/>
  <c r="CY59" i="1" s="1"/>
  <c r="AE94" i="1"/>
  <c r="U49" i="1"/>
  <c r="U60" i="1"/>
  <c r="P72" i="1"/>
  <c r="P39" i="1"/>
  <c r="U99" i="1"/>
  <c r="AM6" i="1"/>
  <c r="BF67" i="1"/>
  <c r="BO67" i="1" s="1"/>
  <c r="BX67" i="1" s="1"/>
  <c r="CG67" i="1" s="1"/>
  <c r="CP67" i="1" s="1"/>
  <c r="CY67" i="1" s="1"/>
  <c r="AN73" i="1"/>
  <c r="AW73" i="1" s="1"/>
  <c r="P100" i="1"/>
  <c r="U72" i="1"/>
  <c r="P70" i="1"/>
  <c r="U68" i="1"/>
  <c r="U66" i="1"/>
  <c r="U64" i="1"/>
  <c r="U62" i="1"/>
  <c r="U58" i="1"/>
  <c r="U54" i="1"/>
  <c r="U59" i="1"/>
  <c r="AL20" i="1"/>
  <c r="AN57" i="1"/>
  <c r="AW57" i="1" s="1"/>
  <c r="BF57" i="1" s="1"/>
  <c r="BO57" i="1" s="1"/>
  <c r="BX57" i="1" s="1"/>
  <c r="CG57" i="1" s="1"/>
  <c r="CP57" i="1" s="1"/>
  <c r="CY57" i="1" s="1"/>
  <c r="AN64" i="1"/>
  <c r="AW64" i="1" s="1"/>
  <c r="BF64" i="1" s="1"/>
  <c r="BO64" i="1" s="1"/>
  <c r="BX64" i="1" s="1"/>
  <c r="CG64" i="1" s="1"/>
  <c r="CP64" i="1" s="1"/>
  <c r="CY64" i="1" s="1"/>
  <c r="AN58" i="1"/>
  <c r="AW58" i="1" s="1"/>
  <c r="BF58" i="1" s="1"/>
  <c r="BO58" i="1" s="1"/>
  <c r="BX58" i="1" s="1"/>
  <c r="CG58" i="1" s="1"/>
  <c r="CP58" i="1" s="1"/>
  <c r="CY58" i="1" s="1"/>
  <c r="AN41" i="1"/>
  <c r="AW41" i="1" s="1"/>
  <c r="BF41" i="1" s="1"/>
  <c r="BO41" i="1" s="1"/>
  <c r="BX41" i="1" s="1"/>
  <c r="CG41" i="1" s="1"/>
  <c r="CP41" i="1" s="1"/>
  <c r="CY41" i="1" s="1"/>
  <c r="AN37" i="1"/>
  <c r="AW37" i="1" s="1"/>
  <c r="AM19" i="1"/>
  <c r="AE86" i="1"/>
  <c r="AE62" i="1"/>
  <c r="Q62" i="1" s="1"/>
  <c r="BF45" i="1"/>
  <c r="BO45" i="1" s="1"/>
  <c r="BX45" i="1" s="1"/>
  <c r="CG45" i="1" s="1"/>
  <c r="CP45" i="1" s="1"/>
  <c r="CY45" i="1" s="1"/>
  <c r="BF55" i="1"/>
  <c r="BO55" i="1" s="1"/>
  <c r="BX55" i="1" s="1"/>
  <c r="CG55" i="1" s="1"/>
  <c r="CP55" i="1" s="1"/>
  <c r="CY55" i="1" s="1"/>
  <c r="U101" i="1"/>
  <c r="U98" i="1"/>
  <c r="U39" i="1"/>
  <c r="Y5" i="2"/>
  <c r="Y6" i="2" s="1"/>
  <c r="AE70" i="1"/>
  <c r="Q70" i="1" s="1"/>
  <c r="AN69" i="1"/>
  <c r="AW69" i="1" s="1"/>
  <c r="BF69" i="1" s="1"/>
  <c r="BO69" i="1" s="1"/>
  <c r="BX69" i="1" s="1"/>
  <c r="CG69" i="1" s="1"/>
  <c r="CP69" i="1" s="1"/>
  <c r="CY69" i="1" s="1"/>
  <c r="Q69" i="1"/>
  <c r="AN66" i="1"/>
  <c r="AW66" i="1" s="1"/>
  <c r="BF66" i="1" s="1"/>
  <c r="BO66" i="1" s="1"/>
  <c r="BX66" i="1" s="1"/>
  <c r="CG66" i="1" s="1"/>
  <c r="CP66" i="1" s="1"/>
  <c r="CY66" i="1" s="1"/>
  <c r="U100" i="1"/>
  <c r="P38" i="1"/>
  <c r="P54" i="1"/>
  <c r="AL30" i="1"/>
  <c r="AM27" i="1"/>
  <c r="AM15" i="1"/>
  <c r="AM16" i="1"/>
  <c r="AM14" i="1"/>
  <c r="AL19" i="1"/>
  <c r="AE60" i="1"/>
  <c r="Q60" i="1" s="1"/>
  <c r="AE71" i="1"/>
  <c r="Q71" i="1" s="1"/>
  <c r="AN68" i="1"/>
  <c r="AW68" i="1" s="1"/>
  <c r="BF68" i="1" s="1"/>
  <c r="BO68" i="1" s="1"/>
  <c r="BX68" i="1" s="1"/>
  <c r="CG68" i="1" s="1"/>
  <c r="CP68" i="1" s="1"/>
  <c r="CY68" i="1" s="1"/>
  <c r="P98" i="1"/>
  <c r="P103" i="1"/>
  <c r="P60" i="1"/>
  <c r="P56" i="1"/>
  <c r="P55" i="1"/>
  <c r="U56" i="1"/>
  <c r="AM25" i="1"/>
  <c r="AM23" i="1"/>
  <c r="AL23" i="1"/>
  <c r="AM21" i="1"/>
  <c r="AM12" i="1"/>
  <c r="AL8" i="1"/>
  <c r="AM7" i="1"/>
  <c r="AM20" i="1"/>
  <c r="U69" i="1"/>
  <c r="AL28" i="1"/>
  <c r="AL24" i="1"/>
  <c r="AM26" i="1"/>
  <c r="AL7" i="1"/>
  <c r="AM24" i="1"/>
  <c r="AL17" i="1"/>
  <c r="P101" i="1"/>
  <c r="U103" i="1"/>
  <c r="U104" i="1"/>
  <c r="P86" i="1"/>
  <c r="P61" i="1"/>
  <c r="AL29" i="1"/>
  <c r="AL18" i="1"/>
  <c r="AM18" i="1"/>
  <c r="AM13" i="1"/>
  <c r="AL11" i="1"/>
  <c r="AM17" i="1"/>
  <c r="P99" i="1"/>
  <c r="P71" i="1"/>
  <c r="P69" i="1"/>
  <c r="P65" i="1"/>
  <c r="U63" i="1"/>
  <c r="P53" i="1"/>
  <c r="U46" i="1"/>
  <c r="AM28" i="1"/>
  <c r="U41" i="1"/>
  <c r="P37" i="1"/>
  <c r="AL26" i="1"/>
  <c r="AL16" i="1"/>
  <c r="AL12" i="1"/>
  <c r="AL21" i="1"/>
  <c r="AS3" i="1" a="1"/>
  <c r="AS3" i="1" s="1"/>
  <c r="AL14" i="1"/>
  <c r="AM29" i="1"/>
  <c r="AN56" i="1"/>
  <c r="AW56" i="1" s="1"/>
  <c r="BF56" i="1" s="1"/>
  <c r="BO56" i="1" s="1"/>
  <c r="BX56" i="1" s="1"/>
  <c r="CG56" i="1" s="1"/>
  <c r="CP56" i="1" s="1"/>
  <c r="CY56" i="1" s="1"/>
  <c r="P73" i="1"/>
  <c r="AN71" i="1"/>
  <c r="AW71" i="1" s="1"/>
  <c r="BF71" i="1" s="1"/>
  <c r="BO71" i="1" s="1"/>
  <c r="BX71" i="1" s="1"/>
  <c r="CG71" i="1" s="1"/>
  <c r="CP71" i="1" s="1"/>
  <c r="CY71" i="1" s="1"/>
  <c r="AN65" i="1"/>
  <c r="AW65" i="1" s="1"/>
  <c r="BF65" i="1" s="1"/>
  <c r="BO65" i="1" s="1"/>
  <c r="BX65" i="1" s="1"/>
  <c r="CG65" i="1" s="1"/>
  <c r="CP65" i="1" s="1"/>
  <c r="CY65" i="1" s="1"/>
  <c r="AN63" i="1"/>
  <c r="AW63" i="1" s="1"/>
  <c r="BF63" i="1" s="1"/>
  <c r="BO63" i="1" s="1"/>
  <c r="BX63" i="1" s="1"/>
  <c r="CG63" i="1" s="1"/>
  <c r="CP63" i="1" s="1"/>
  <c r="CY63" i="1" s="1"/>
  <c r="AN61" i="1"/>
  <c r="AW61" i="1" s="1"/>
  <c r="BF61" i="1" s="1"/>
  <c r="BO61" i="1" s="1"/>
  <c r="BX61" i="1" s="1"/>
  <c r="CG61" i="1" s="1"/>
  <c r="CP61" i="1" s="1"/>
  <c r="CY61" i="1" s="1"/>
  <c r="AL27" i="1"/>
  <c r="AL10" i="1"/>
  <c r="AM10" i="1"/>
  <c r="AL6" i="1"/>
  <c r="AL15" i="1"/>
  <c r="AL25" i="1"/>
  <c r="U97" i="1"/>
  <c r="BF73" i="1"/>
  <c r="BO73" i="1" s="1"/>
  <c r="BX73" i="1" s="1"/>
  <c r="CG73" i="1" s="1"/>
  <c r="CP73" i="1" s="1"/>
  <c r="CY73" i="1" s="1"/>
  <c r="P49" i="1"/>
  <c r="U42" i="1"/>
  <c r="BF37" i="1"/>
  <c r="BO37" i="1" s="1"/>
  <c r="BX37" i="1" s="1"/>
  <c r="CG37" i="1" s="1"/>
  <c r="CP37" i="1" s="1"/>
  <c r="CY37" i="1" s="1"/>
  <c r="AL22" i="1"/>
  <c r="AM30" i="1"/>
  <c r="AM9" i="1"/>
  <c r="AM8" i="1"/>
  <c r="AL13" i="1"/>
  <c r="AM11" i="1"/>
  <c r="AE72" i="1"/>
  <c r="H4" i="2"/>
  <c r="Q94" i="1"/>
  <c r="AN94" i="1"/>
  <c r="AW94" i="1" s="1"/>
  <c r="BF94" i="1" s="1"/>
  <c r="BO94" i="1" s="1"/>
  <c r="BX94" i="1" s="1"/>
  <c r="CG94" i="1" s="1"/>
  <c r="CP94" i="1" s="1"/>
  <c r="CY94" i="1" s="1"/>
  <c r="P42" i="1"/>
  <c r="P104" i="1"/>
  <c r="P50" i="1"/>
  <c r="U50" i="1"/>
  <c r="AE74" i="1"/>
  <c r="U74" i="1"/>
  <c r="P74" i="1"/>
  <c r="AN97" i="1"/>
  <c r="AW97" i="1" s="1"/>
  <c r="BF97" i="1" s="1"/>
  <c r="BO97" i="1" s="1"/>
  <c r="BX97" i="1" s="1"/>
  <c r="CG97" i="1" s="1"/>
  <c r="CP97" i="1" s="1"/>
  <c r="CY97" i="1" s="1"/>
  <c r="Q97" i="1"/>
  <c r="U102" i="1"/>
  <c r="AN39" i="1"/>
  <c r="AW39" i="1" s="1"/>
  <c r="BF39" i="1" s="1"/>
  <c r="BO39" i="1" s="1"/>
  <c r="BX39" i="1" s="1"/>
  <c r="CG39" i="1" s="1"/>
  <c r="CP39" i="1" s="1"/>
  <c r="CY39" i="1" s="1"/>
  <c r="Q39" i="1"/>
  <c r="AN99" i="1"/>
  <c r="AW99" i="1" s="1"/>
  <c r="BF99" i="1" s="1"/>
  <c r="BO99" i="1" s="1"/>
  <c r="BX99" i="1" s="1"/>
  <c r="CG99" i="1" s="1"/>
  <c r="CP99" i="1" s="1"/>
  <c r="CY99" i="1" s="1"/>
  <c r="Q99" i="1"/>
  <c r="AN102" i="1"/>
  <c r="AW102" i="1" s="1"/>
  <c r="BF102" i="1" s="1"/>
  <c r="BO102" i="1" s="1"/>
  <c r="BX102" i="1" s="1"/>
  <c r="CG102" i="1" s="1"/>
  <c r="CP102" i="1" s="1"/>
  <c r="CY102" i="1" s="1"/>
  <c r="Q102" i="1"/>
  <c r="AN100" i="1"/>
  <c r="AW100" i="1" s="1"/>
  <c r="BF100" i="1" s="1"/>
  <c r="BO100" i="1" s="1"/>
  <c r="BX100" i="1" s="1"/>
  <c r="CG100" i="1" s="1"/>
  <c r="CP100" i="1" s="1"/>
  <c r="CY100" i="1" s="1"/>
  <c r="Q100" i="1"/>
  <c r="AN103" i="1"/>
  <c r="AW103" i="1" s="1"/>
  <c r="BF103" i="1" s="1"/>
  <c r="BO103" i="1" s="1"/>
  <c r="BX103" i="1" s="1"/>
  <c r="CG103" i="1" s="1"/>
  <c r="CP103" i="1" s="1"/>
  <c r="CY103" i="1" s="1"/>
  <c r="Q103" i="1"/>
  <c r="AE87" i="1"/>
  <c r="U87" i="1"/>
  <c r="P87" i="1"/>
  <c r="AN50" i="1"/>
  <c r="AW50" i="1" s="1"/>
  <c r="BF50" i="1" s="1"/>
  <c r="BO50" i="1" s="1"/>
  <c r="BX50" i="1" s="1"/>
  <c r="CG50" i="1" s="1"/>
  <c r="CP50" i="1" s="1"/>
  <c r="CY50" i="1" s="1"/>
  <c r="Q50" i="1"/>
  <c r="AE85" i="1"/>
  <c r="U85" i="1"/>
  <c r="P85" i="1"/>
  <c r="U73" i="1"/>
  <c r="AN46" i="1"/>
  <c r="AW46" i="1" s="1"/>
  <c r="BF46" i="1" s="1"/>
  <c r="BO46" i="1" s="1"/>
  <c r="BX46" i="1" s="1"/>
  <c r="CG46" i="1" s="1"/>
  <c r="CP46" i="1" s="1"/>
  <c r="CY46" i="1" s="1"/>
  <c r="Q46" i="1"/>
  <c r="P31" i="1"/>
  <c r="AE31" i="1"/>
  <c r="U31" i="1"/>
  <c r="AN104" i="1"/>
  <c r="AW104" i="1" s="1"/>
  <c r="BF104" i="1" s="1"/>
  <c r="BO104" i="1" s="1"/>
  <c r="BX104" i="1" s="1"/>
  <c r="CG104" i="1" s="1"/>
  <c r="CP104" i="1" s="1"/>
  <c r="CY104" i="1" s="1"/>
  <c r="Q104" i="1"/>
  <c r="AE96" i="1"/>
  <c r="U96" i="1"/>
  <c r="P96" i="1"/>
  <c r="AE92" i="1"/>
  <c r="U92" i="1"/>
  <c r="P92" i="1"/>
  <c r="AE90" i="1"/>
  <c r="U90" i="1"/>
  <c r="P90" i="1"/>
  <c r="AE88" i="1"/>
  <c r="U88" i="1"/>
  <c r="P88" i="1"/>
  <c r="P84" i="1"/>
  <c r="AE84" i="1"/>
  <c r="U84" i="1"/>
  <c r="P82" i="1"/>
  <c r="AE82" i="1"/>
  <c r="U82" i="1"/>
  <c r="P80" i="1"/>
  <c r="AE80" i="1"/>
  <c r="U80" i="1"/>
  <c r="P78" i="1"/>
  <c r="AE78" i="1"/>
  <c r="U78" i="1"/>
  <c r="P76" i="1"/>
  <c r="AE76" i="1"/>
  <c r="U76" i="1"/>
  <c r="P67" i="1"/>
  <c r="P58" i="1"/>
  <c r="U40" i="1"/>
  <c r="U57" i="1"/>
  <c r="P45" i="1"/>
  <c r="P68" i="1"/>
  <c r="P46" i="1"/>
  <c r="Q38" i="1"/>
  <c r="AN38" i="1"/>
  <c r="AW38" i="1" s="1"/>
  <c r="BF38" i="1" s="1"/>
  <c r="BO38" i="1" s="1"/>
  <c r="BX38" i="1" s="1"/>
  <c r="CG38" i="1" s="1"/>
  <c r="CP38" i="1" s="1"/>
  <c r="CY38" i="1" s="1"/>
  <c r="Q42" i="1"/>
  <c r="AN42" i="1"/>
  <c r="AW42" i="1" s="1"/>
  <c r="BF42" i="1" s="1"/>
  <c r="BO42" i="1" s="1"/>
  <c r="BX42" i="1" s="1"/>
  <c r="CG42" i="1" s="1"/>
  <c r="CP42" i="1" s="1"/>
  <c r="CY42" i="1" s="1"/>
  <c r="P34" i="1"/>
  <c r="AE34" i="1"/>
  <c r="U34" i="1"/>
  <c r="P33" i="1"/>
  <c r="AE33" i="1"/>
  <c r="U33" i="1"/>
  <c r="BK5" i="1"/>
  <c r="P102" i="1"/>
  <c r="U86" i="1"/>
  <c r="AN54" i="1"/>
  <c r="AW54" i="1" s="1"/>
  <c r="BF54" i="1" s="1"/>
  <c r="BO54" i="1" s="1"/>
  <c r="BX54" i="1" s="1"/>
  <c r="CG54" i="1" s="1"/>
  <c r="CP54" i="1" s="1"/>
  <c r="CY54" i="1" s="1"/>
  <c r="Q54" i="1"/>
  <c r="P66" i="1"/>
  <c r="U65" i="1"/>
  <c r="U53" i="1"/>
  <c r="P62" i="1"/>
  <c r="P35" i="1"/>
  <c r="U35" i="1"/>
  <c r="AE35" i="1"/>
  <c r="U70" i="1"/>
  <c r="P32" i="1"/>
  <c r="AE32" i="1"/>
  <c r="U32" i="1"/>
  <c r="S6" i="1"/>
  <c r="AB7" i="1"/>
  <c r="BB5" i="1"/>
  <c r="AN101" i="1"/>
  <c r="AW101" i="1" s="1"/>
  <c r="BF101" i="1" s="1"/>
  <c r="BO101" i="1" s="1"/>
  <c r="BX101" i="1" s="1"/>
  <c r="CG101" i="1" s="1"/>
  <c r="CP101" i="1" s="1"/>
  <c r="CY101" i="1" s="1"/>
  <c r="Q101" i="1"/>
  <c r="P97" i="1"/>
  <c r="AE93" i="1"/>
  <c r="U93" i="1"/>
  <c r="P93" i="1"/>
  <c r="AE91" i="1"/>
  <c r="U91" i="1"/>
  <c r="P91" i="1"/>
  <c r="AE89" i="1"/>
  <c r="U89" i="1"/>
  <c r="P89" i="1"/>
  <c r="P83" i="1"/>
  <c r="AE83" i="1"/>
  <c r="U83" i="1"/>
  <c r="P81" i="1"/>
  <c r="AE81" i="1"/>
  <c r="U81" i="1"/>
  <c r="P79" i="1"/>
  <c r="AE79" i="1"/>
  <c r="U79" i="1"/>
  <c r="P77" i="1"/>
  <c r="U77" i="1"/>
  <c r="AE77" i="1"/>
  <c r="P75" i="1"/>
  <c r="AE75" i="1"/>
  <c r="U75" i="1"/>
  <c r="AN86" i="1"/>
  <c r="AW86" i="1" s="1"/>
  <c r="BF86" i="1" s="1"/>
  <c r="BO86" i="1" s="1"/>
  <c r="BX86" i="1" s="1"/>
  <c r="CG86" i="1" s="1"/>
  <c r="CP86" i="1" s="1"/>
  <c r="CY86" i="1" s="1"/>
  <c r="Q86" i="1"/>
  <c r="AN53" i="1"/>
  <c r="AW53" i="1" s="1"/>
  <c r="BF53" i="1" s="1"/>
  <c r="BO53" i="1" s="1"/>
  <c r="BX53" i="1" s="1"/>
  <c r="CG53" i="1" s="1"/>
  <c r="CP53" i="1" s="1"/>
  <c r="CY53" i="1" s="1"/>
  <c r="Q53" i="1"/>
  <c r="P44" i="1"/>
  <c r="AE44" i="1"/>
  <c r="U44" i="1"/>
  <c r="P63" i="1"/>
  <c r="P40" i="1"/>
  <c r="U36" i="1"/>
  <c r="AE36" i="1"/>
  <c r="P36" i="1"/>
  <c r="U71" i="1"/>
  <c r="AN98" i="1"/>
  <c r="AW98" i="1" s="1"/>
  <c r="BF98" i="1" s="1"/>
  <c r="BO98" i="1" s="1"/>
  <c r="BX98" i="1" s="1"/>
  <c r="CG98" i="1" s="1"/>
  <c r="CP98" i="1" s="1"/>
  <c r="CY98" i="1" s="1"/>
  <c r="Q98" i="1"/>
  <c r="AE105" i="1"/>
  <c r="U105" i="1"/>
  <c r="P105" i="1"/>
  <c r="U94" i="1"/>
  <c r="P94" i="1"/>
  <c r="P52" i="1"/>
  <c r="U52" i="1"/>
  <c r="AE52" i="1"/>
  <c r="AE43" i="1"/>
  <c r="U43" i="1"/>
  <c r="P43" i="1"/>
  <c r="U38" i="1"/>
  <c r="AV29" i="1"/>
  <c r="AU29" i="1"/>
  <c r="AV24" i="1"/>
  <c r="AU24" i="1"/>
  <c r="AV28" i="1"/>
  <c r="AV23" i="1"/>
  <c r="AU28" i="1"/>
  <c r="AV25" i="1"/>
  <c r="AU23" i="1"/>
  <c r="AV10" i="1"/>
  <c r="AV27" i="1"/>
  <c r="AU22" i="1"/>
  <c r="AU9" i="1"/>
  <c r="AU26" i="1"/>
  <c r="AV21" i="1"/>
  <c r="AU7" i="1"/>
  <c r="AX3" i="1"/>
  <c r="AV22" i="1"/>
  <c r="AU10" i="1"/>
  <c r="AV7" i="1"/>
  <c r="AV16" i="1"/>
  <c r="AU16" i="1"/>
  <c r="AV9" i="1"/>
  <c r="BB3" i="1" a="1"/>
  <c r="BB3" i="1" s="1"/>
  <c r="U95" i="1"/>
  <c r="AE95" i="1"/>
  <c r="P95" i="1"/>
  <c r="U47" i="1"/>
  <c r="AE47" i="1"/>
  <c r="P47" i="1"/>
  <c r="AN49" i="1"/>
  <c r="AW49" i="1" s="1"/>
  <c r="BF49" i="1" s="1"/>
  <c r="BO49" i="1" s="1"/>
  <c r="BX49" i="1" s="1"/>
  <c r="CG49" i="1" s="1"/>
  <c r="CP49" i="1" s="1"/>
  <c r="CY49" i="1" s="1"/>
  <c r="Q49" i="1"/>
  <c r="AE48" i="1"/>
  <c r="P48" i="1"/>
  <c r="U48" i="1"/>
  <c r="AE51" i="1"/>
  <c r="U51" i="1"/>
  <c r="P51" i="1"/>
  <c r="Q40" i="1" l="1"/>
  <c r="AN70" i="1"/>
  <c r="AW70" i="1" s="1"/>
  <c r="BF70" i="1" s="1"/>
  <c r="BO70" i="1" s="1"/>
  <c r="BX70" i="1" s="1"/>
  <c r="CG70" i="1" s="1"/>
  <c r="CP70" i="1" s="1"/>
  <c r="CY70" i="1" s="1"/>
  <c r="Z5" i="2"/>
  <c r="AN62" i="1"/>
  <c r="AW62" i="1" s="1"/>
  <c r="BF62" i="1" s="1"/>
  <c r="BO62" i="1" s="1"/>
  <c r="BX62" i="1" s="1"/>
  <c r="CG62" i="1" s="1"/>
  <c r="CP62" i="1" s="1"/>
  <c r="CY62" i="1" s="1"/>
  <c r="AU12" i="1"/>
  <c r="AV13" i="1"/>
  <c r="AU19" i="1"/>
  <c r="AU25" i="1"/>
  <c r="AU20" i="1"/>
  <c r="AV6" i="1"/>
  <c r="AU11" i="1"/>
  <c r="AV18" i="1"/>
  <c r="AV20" i="1"/>
  <c r="AV15" i="1"/>
  <c r="AV8" i="1"/>
  <c r="AU6" i="1"/>
  <c r="AU21" i="1"/>
  <c r="AU17" i="1"/>
  <c r="AV30" i="1"/>
  <c r="AV12" i="1"/>
  <c r="AU8" i="1"/>
  <c r="AU15" i="1"/>
  <c r="AU13" i="1"/>
  <c r="AV14" i="1"/>
  <c r="AV19" i="1"/>
  <c r="AU18" i="1"/>
  <c r="AV11" i="1"/>
  <c r="AV26" i="1"/>
  <c r="AU27" i="1"/>
  <c r="AU30" i="1"/>
  <c r="AU14" i="1"/>
  <c r="AV17" i="1"/>
  <c r="AN72" i="1"/>
  <c r="AW72" i="1" s="1"/>
  <c r="BF72" i="1" s="1"/>
  <c r="BO72" i="1" s="1"/>
  <c r="BX72" i="1" s="1"/>
  <c r="CG72" i="1" s="1"/>
  <c r="CP72" i="1" s="1"/>
  <c r="CY72" i="1" s="1"/>
  <c r="Q72" i="1"/>
  <c r="AN60" i="1"/>
  <c r="AW60" i="1" s="1"/>
  <c r="BF60" i="1" s="1"/>
  <c r="BO60" i="1" s="1"/>
  <c r="BX60" i="1" s="1"/>
  <c r="CG60" i="1" s="1"/>
  <c r="CP60" i="1" s="1"/>
  <c r="CY60" i="1" s="1"/>
  <c r="I4" i="2"/>
  <c r="AN89" i="1"/>
  <c r="AW89" i="1" s="1"/>
  <c r="BF89" i="1" s="1"/>
  <c r="BO89" i="1" s="1"/>
  <c r="BX89" i="1" s="1"/>
  <c r="CG89" i="1" s="1"/>
  <c r="CP89" i="1" s="1"/>
  <c r="CY89" i="1" s="1"/>
  <c r="Q89" i="1"/>
  <c r="AN75" i="1"/>
  <c r="AW75" i="1" s="1"/>
  <c r="BF75" i="1" s="1"/>
  <c r="BO75" i="1" s="1"/>
  <c r="BX75" i="1" s="1"/>
  <c r="CG75" i="1" s="1"/>
  <c r="CP75" i="1" s="1"/>
  <c r="CY75" i="1" s="1"/>
  <c r="Q75" i="1"/>
  <c r="AN93" i="1"/>
  <c r="AW93" i="1" s="1"/>
  <c r="BF93" i="1" s="1"/>
  <c r="BO93" i="1" s="1"/>
  <c r="BX93" i="1" s="1"/>
  <c r="CG93" i="1" s="1"/>
  <c r="CP93" i="1" s="1"/>
  <c r="CY93" i="1" s="1"/>
  <c r="Q93" i="1"/>
  <c r="Q35" i="1"/>
  <c r="AN35" i="1"/>
  <c r="AW35" i="1" s="1"/>
  <c r="BF35" i="1" s="1"/>
  <c r="BO35" i="1" s="1"/>
  <c r="BX35" i="1" s="1"/>
  <c r="CG35" i="1" s="1"/>
  <c r="CP35" i="1" s="1"/>
  <c r="CY35" i="1" s="1"/>
  <c r="AN34" i="1"/>
  <c r="AW34" i="1" s="1"/>
  <c r="BF34" i="1" s="1"/>
  <c r="BO34" i="1" s="1"/>
  <c r="BX34" i="1" s="1"/>
  <c r="CG34" i="1" s="1"/>
  <c r="CP34" i="1" s="1"/>
  <c r="CY34" i="1" s="1"/>
  <c r="Q34" i="1"/>
  <c r="AN76" i="1"/>
  <c r="AW76" i="1" s="1"/>
  <c r="BF76" i="1" s="1"/>
  <c r="BO76" i="1" s="1"/>
  <c r="BX76" i="1" s="1"/>
  <c r="CG76" i="1" s="1"/>
  <c r="CP76" i="1" s="1"/>
  <c r="CY76" i="1" s="1"/>
  <c r="Q76" i="1"/>
  <c r="AN88" i="1"/>
  <c r="AW88" i="1" s="1"/>
  <c r="BF88" i="1" s="1"/>
  <c r="BO88" i="1" s="1"/>
  <c r="BX88" i="1" s="1"/>
  <c r="CG88" i="1" s="1"/>
  <c r="CP88" i="1" s="1"/>
  <c r="CY88" i="1" s="1"/>
  <c r="Q88" i="1"/>
  <c r="AN87" i="1"/>
  <c r="AW87" i="1" s="1"/>
  <c r="BF87" i="1" s="1"/>
  <c r="BO87" i="1" s="1"/>
  <c r="BX87" i="1" s="1"/>
  <c r="CG87" i="1" s="1"/>
  <c r="CP87" i="1" s="1"/>
  <c r="CY87" i="1" s="1"/>
  <c r="Q87" i="1"/>
  <c r="AN51" i="1"/>
  <c r="AW51" i="1" s="1"/>
  <c r="BF51" i="1" s="1"/>
  <c r="BO51" i="1" s="1"/>
  <c r="BX51" i="1" s="1"/>
  <c r="CG51" i="1" s="1"/>
  <c r="CP51" i="1" s="1"/>
  <c r="CY51" i="1" s="1"/>
  <c r="Q51" i="1"/>
  <c r="Q95" i="1"/>
  <c r="AN95" i="1"/>
  <c r="AW95" i="1" s="1"/>
  <c r="BF95" i="1" s="1"/>
  <c r="BO95" i="1" s="1"/>
  <c r="BX95" i="1" s="1"/>
  <c r="CG95" i="1" s="1"/>
  <c r="CP95" i="1" s="1"/>
  <c r="CY95" i="1" s="1"/>
  <c r="AN43" i="1"/>
  <c r="AW43" i="1" s="1"/>
  <c r="BF43" i="1" s="1"/>
  <c r="BO43" i="1" s="1"/>
  <c r="BX43" i="1" s="1"/>
  <c r="CG43" i="1" s="1"/>
  <c r="CP43" i="1" s="1"/>
  <c r="CY43" i="1" s="1"/>
  <c r="Q43" i="1"/>
  <c r="AN36" i="1"/>
  <c r="AW36" i="1" s="1"/>
  <c r="BF36" i="1" s="1"/>
  <c r="BO36" i="1" s="1"/>
  <c r="BX36" i="1" s="1"/>
  <c r="CG36" i="1" s="1"/>
  <c r="CP36" i="1" s="1"/>
  <c r="CY36" i="1" s="1"/>
  <c r="Q36" i="1"/>
  <c r="AN47" i="1"/>
  <c r="AW47" i="1" s="1"/>
  <c r="BF47" i="1" s="1"/>
  <c r="BO47" i="1" s="1"/>
  <c r="BX47" i="1" s="1"/>
  <c r="CG47" i="1" s="1"/>
  <c r="CP47" i="1" s="1"/>
  <c r="CY47" i="1" s="1"/>
  <c r="Q47" i="1"/>
  <c r="AN52" i="1"/>
  <c r="AW52" i="1" s="1"/>
  <c r="BF52" i="1" s="1"/>
  <c r="BO52" i="1" s="1"/>
  <c r="BX52" i="1" s="1"/>
  <c r="CG52" i="1" s="1"/>
  <c r="CP52" i="1" s="1"/>
  <c r="CY52" i="1" s="1"/>
  <c r="Q52" i="1"/>
  <c r="AN81" i="1"/>
  <c r="AW81" i="1" s="1"/>
  <c r="BF81" i="1" s="1"/>
  <c r="BO81" i="1" s="1"/>
  <c r="BX81" i="1" s="1"/>
  <c r="CG81" i="1" s="1"/>
  <c r="CP81" i="1" s="1"/>
  <c r="CY81" i="1" s="1"/>
  <c r="Q81" i="1"/>
  <c r="AN82" i="1"/>
  <c r="AW82" i="1" s="1"/>
  <c r="BF82" i="1" s="1"/>
  <c r="BO82" i="1" s="1"/>
  <c r="BX82" i="1" s="1"/>
  <c r="CG82" i="1" s="1"/>
  <c r="CP82" i="1" s="1"/>
  <c r="CY82" i="1" s="1"/>
  <c r="Q82" i="1"/>
  <c r="AN96" i="1"/>
  <c r="AW96" i="1" s="1"/>
  <c r="BF96" i="1" s="1"/>
  <c r="BO96" i="1" s="1"/>
  <c r="BX96" i="1" s="1"/>
  <c r="CG96" i="1" s="1"/>
  <c r="CP96" i="1" s="1"/>
  <c r="CY96" i="1" s="1"/>
  <c r="Q96" i="1"/>
  <c r="AN85" i="1"/>
  <c r="AW85" i="1" s="1"/>
  <c r="BF85" i="1" s="1"/>
  <c r="BO85" i="1" s="1"/>
  <c r="BX85" i="1" s="1"/>
  <c r="CG85" i="1" s="1"/>
  <c r="CP85" i="1" s="1"/>
  <c r="CY85" i="1" s="1"/>
  <c r="Q85" i="1"/>
  <c r="AN74" i="1"/>
  <c r="AW74" i="1" s="1"/>
  <c r="BF74" i="1" s="1"/>
  <c r="BO74" i="1" s="1"/>
  <c r="BX74" i="1" s="1"/>
  <c r="CG74" i="1" s="1"/>
  <c r="CP74" i="1" s="1"/>
  <c r="CY74" i="1" s="1"/>
  <c r="Q74" i="1"/>
  <c r="S7" i="1"/>
  <c r="AK7" i="1"/>
  <c r="AT7" i="1" s="1"/>
  <c r="BC7" i="1" s="1"/>
  <c r="BL7" i="1" s="1"/>
  <c r="BU7" i="1" s="1"/>
  <c r="CD7" i="1" s="1"/>
  <c r="CM7" i="1" s="1"/>
  <c r="CV7" i="1" s="1"/>
  <c r="AB8" i="1"/>
  <c r="AN32" i="1"/>
  <c r="AW32" i="1" s="1"/>
  <c r="BF32" i="1" s="1"/>
  <c r="BO32" i="1" s="1"/>
  <c r="BX32" i="1" s="1"/>
  <c r="CG32" i="1" s="1"/>
  <c r="CP32" i="1" s="1"/>
  <c r="CY32" i="1" s="1"/>
  <c r="Q32" i="1"/>
  <c r="AN78" i="1"/>
  <c r="AW78" i="1" s="1"/>
  <c r="BF78" i="1" s="1"/>
  <c r="BO78" i="1" s="1"/>
  <c r="BX78" i="1" s="1"/>
  <c r="CG78" i="1" s="1"/>
  <c r="CP78" i="1" s="1"/>
  <c r="CY78" i="1" s="1"/>
  <c r="Q78" i="1"/>
  <c r="AN90" i="1"/>
  <c r="AW90" i="1" s="1"/>
  <c r="BF90" i="1" s="1"/>
  <c r="BO90" i="1" s="1"/>
  <c r="BX90" i="1" s="1"/>
  <c r="CG90" i="1" s="1"/>
  <c r="CP90" i="1" s="1"/>
  <c r="CY90" i="1" s="1"/>
  <c r="Q90" i="1"/>
  <c r="AN31" i="1"/>
  <c r="AW31" i="1" s="1"/>
  <c r="BF31" i="1" s="1"/>
  <c r="BO31" i="1" s="1"/>
  <c r="BX31" i="1" s="1"/>
  <c r="CG31" i="1" s="1"/>
  <c r="CP31" i="1" s="1"/>
  <c r="CY31" i="1" s="1"/>
  <c r="Q31" i="1"/>
  <c r="BD29" i="1"/>
  <c r="BE28" i="1"/>
  <c r="BD28" i="1"/>
  <c r="BD25" i="1"/>
  <c r="BE17" i="1"/>
  <c r="BE24" i="1"/>
  <c r="BD17" i="1"/>
  <c r="BD24" i="1"/>
  <c r="BD16" i="1"/>
  <c r="BE10" i="1"/>
  <c r="BD10" i="1"/>
  <c r="BE9" i="1"/>
  <c r="BK3" i="1" a="1"/>
  <c r="BK3" i="1" s="1"/>
  <c r="BD9" i="1"/>
  <c r="BE8" i="1"/>
  <c r="BG3" i="1"/>
  <c r="BE6" i="1"/>
  <c r="BD6" i="1"/>
  <c r="BD13" i="1"/>
  <c r="BD8" i="1"/>
  <c r="BD7" i="1"/>
  <c r="BE15" i="1"/>
  <c r="BD11" i="1"/>
  <c r="BE14" i="1"/>
  <c r="BD26" i="1"/>
  <c r="BD20" i="1"/>
  <c r="BE19" i="1"/>
  <c r="BE26" i="1"/>
  <c r="BE25" i="1"/>
  <c r="BE22" i="1"/>
  <c r="BE29" i="1"/>
  <c r="BD12" i="1"/>
  <c r="BD14" i="1"/>
  <c r="BD15" i="1"/>
  <c r="BE13" i="1"/>
  <c r="BD18" i="1"/>
  <c r="BE27" i="1"/>
  <c r="BE30" i="1"/>
  <c r="BD22" i="1"/>
  <c r="BE23" i="1"/>
  <c r="BE12" i="1"/>
  <c r="BE11" i="1"/>
  <c r="BE16" i="1"/>
  <c r="BE20" i="1"/>
  <c r="BD21" i="1"/>
  <c r="BD27" i="1"/>
  <c r="BE7" i="1"/>
  <c r="BE18" i="1"/>
  <c r="BD19" i="1"/>
  <c r="BE21" i="1"/>
  <c r="BD30" i="1"/>
  <c r="BD23" i="1"/>
  <c r="AN77" i="1"/>
  <c r="AW77" i="1" s="1"/>
  <c r="BF77" i="1" s="1"/>
  <c r="BO77" i="1" s="1"/>
  <c r="BX77" i="1" s="1"/>
  <c r="CG77" i="1" s="1"/>
  <c r="CP77" i="1" s="1"/>
  <c r="CY77" i="1" s="1"/>
  <c r="Q77" i="1"/>
  <c r="AN83" i="1"/>
  <c r="AW83" i="1" s="1"/>
  <c r="BF83" i="1" s="1"/>
  <c r="BO83" i="1" s="1"/>
  <c r="BX83" i="1" s="1"/>
  <c r="CG83" i="1" s="1"/>
  <c r="CP83" i="1" s="1"/>
  <c r="CY83" i="1" s="1"/>
  <c r="Q83" i="1"/>
  <c r="AN84" i="1"/>
  <c r="AW84" i="1" s="1"/>
  <c r="BF84" i="1" s="1"/>
  <c r="BO84" i="1" s="1"/>
  <c r="BX84" i="1" s="1"/>
  <c r="CG84" i="1" s="1"/>
  <c r="CP84" i="1" s="1"/>
  <c r="CY84" i="1" s="1"/>
  <c r="Q84" i="1"/>
  <c r="AN44" i="1"/>
  <c r="AW44" i="1" s="1"/>
  <c r="BF44" i="1" s="1"/>
  <c r="BO44" i="1" s="1"/>
  <c r="BX44" i="1" s="1"/>
  <c r="CG44" i="1" s="1"/>
  <c r="CP44" i="1" s="1"/>
  <c r="CY44" i="1" s="1"/>
  <c r="Q44" i="1"/>
  <c r="AN91" i="1"/>
  <c r="AW91" i="1" s="1"/>
  <c r="BF91" i="1" s="1"/>
  <c r="BO91" i="1" s="1"/>
  <c r="BX91" i="1" s="1"/>
  <c r="CG91" i="1" s="1"/>
  <c r="CP91" i="1" s="1"/>
  <c r="CY91" i="1" s="1"/>
  <c r="Q91" i="1"/>
  <c r="AN33" i="1"/>
  <c r="AW33" i="1" s="1"/>
  <c r="BF33" i="1" s="1"/>
  <c r="BO33" i="1" s="1"/>
  <c r="BX33" i="1" s="1"/>
  <c r="CG33" i="1" s="1"/>
  <c r="CP33" i="1" s="1"/>
  <c r="CY33" i="1" s="1"/>
  <c r="Q33" i="1"/>
  <c r="AN105" i="1"/>
  <c r="AW105" i="1" s="1"/>
  <c r="BF105" i="1" s="1"/>
  <c r="BO105" i="1" s="1"/>
  <c r="BX105" i="1" s="1"/>
  <c r="CG105" i="1" s="1"/>
  <c r="CP105" i="1" s="1"/>
  <c r="CY105" i="1" s="1"/>
  <c r="Q105" i="1"/>
  <c r="AN79" i="1"/>
  <c r="AW79" i="1" s="1"/>
  <c r="BF79" i="1" s="1"/>
  <c r="BO79" i="1" s="1"/>
  <c r="BX79" i="1" s="1"/>
  <c r="CG79" i="1" s="1"/>
  <c r="CP79" i="1" s="1"/>
  <c r="CY79" i="1" s="1"/>
  <c r="Q79" i="1"/>
  <c r="AN80" i="1"/>
  <c r="AW80" i="1" s="1"/>
  <c r="BF80" i="1" s="1"/>
  <c r="BO80" i="1" s="1"/>
  <c r="BX80" i="1" s="1"/>
  <c r="CG80" i="1" s="1"/>
  <c r="CP80" i="1" s="1"/>
  <c r="CY80" i="1" s="1"/>
  <c r="Q80" i="1"/>
  <c r="AN92" i="1"/>
  <c r="AW92" i="1" s="1"/>
  <c r="BF92" i="1" s="1"/>
  <c r="BO92" i="1" s="1"/>
  <c r="BX92" i="1" s="1"/>
  <c r="CG92" i="1" s="1"/>
  <c r="CP92" i="1" s="1"/>
  <c r="CY92" i="1" s="1"/>
  <c r="Q92" i="1"/>
  <c r="AN48" i="1"/>
  <c r="AW48" i="1" s="1"/>
  <c r="BF48" i="1" s="1"/>
  <c r="BO48" i="1" s="1"/>
  <c r="BX48" i="1" s="1"/>
  <c r="CG48" i="1" s="1"/>
  <c r="CP48" i="1" s="1"/>
  <c r="CY48" i="1" s="1"/>
  <c r="Q48" i="1"/>
  <c r="Z6" i="2" l="1"/>
  <c r="AA5" i="2"/>
  <c r="J4" i="2"/>
  <c r="AK8" i="1"/>
  <c r="AT8" i="1" s="1"/>
  <c r="BC8" i="1" s="1"/>
  <c r="BL8" i="1" s="1"/>
  <c r="BU8" i="1" s="1"/>
  <c r="CD8" i="1" s="1"/>
  <c r="CM8" i="1" s="1"/>
  <c r="CV8" i="1" s="1"/>
  <c r="AB9" i="1"/>
  <c r="S8" i="1"/>
  <c r="BM24" i="1"/>
  <c r="BM28" i="1"/>
  <c r="BM22" i="1"/>
  <c r="BM9" i="1"/>
  <c r="BN25" i="1"/>
  <c r="BM16" i="1"/>
  <c r="BM25" i="1"/>
  <c r="BM7" i="1"/>
  <c r="BN14" i="1"/>
  <c r="BT3" i="1" a="1"/>
  <c r="BT3" i="1" s="1"/>
  <c r="BN11" i="1"/>
  <c r="BM8" i="1"/>
  <c r="BN17" i="1"/>
  <c r="BN7" i="1"/>
  <c r="BN30" i="1"/>
  <c r="BN13" i="1"/>
  <c r="BN26" i="1"/>
  <c r="BN18" i="1"/>
  <c r="BM14" i="1"/>
  <c r="BP3" i="1"/>
  <c r="BN15" i="1"/>
  <c r="BN12" i="1"/>
  <c r="BM10" i="1"/>
  <c r="BM19" i="1"/>
  <c r="BM26" i="1"/>
  <c r="BM23" i="1"/>
  <c r="BN9" i="1"/>
  <c r="BN21" i="1"/>
  <c r="BM6" i="1"/>
  <c r="BM21" i="1"/>
  <c r="BN6" i="1"/>
  <c r="BM20" i="1"/>
  <c r="BN20" i="1"/>
  <c r="BM18" i="1"/>
  <c r="BN27" i="1"/>
  <c r="BN28" i="1"/>
  <c r="BM13" i="1"/>
  <c r="BM15" i="1"/>
  <c r="BN10" i="1"/>
  <c r="BM11" i="1"/>
  <c r="BN19" i="1"/>
  <c r="BM30" i="1"/>
  <c r="BN22" i="1"/>
  <c r="BN24" i="1"/>
  <c r="BM29" i="1"/>
  <c r="BN8" i="1"/>
  <c r="BM12" i="1"/>
  <c r="BN16" i="1"/>
  <c r="BM17" i="1"/>
  <c r="BN23" i="1"/>
  <c r="BN29" i="1"/>
  <c r="BM27" i="1"/>
  <c r="AA6" i="2" l="1"/>
  <c r="AB5" i="2"/>
  <c r="K4" i="2"/>
  <c r="AK9" i="1"/>
  <c r="AT9" i="1" s="1"/>
  <c r="BC9" i="1" s="1"/>
  <c r="BL9" i="1" s="1"/>
  <c r="AB10" i="1"/>
  <c r="S9" i="1"/>
  <c r="BV29" i="1"/>
  <c r="BW28" i="1"/>
  <c r="BW29" i="1"/>
  <c r="BV25" i="1"/>
  <c r="BW24" i="1"/>
  <c r="BV24" i="1"/>
  <c r="BW23" i="1"/>
  <c r="BV10" i="1"/>
  <c r="BW9" i="1"/>
  <c r="BW22" i="1"/>
  <c r="BW10" i="1"/>
  <c r="BV23" i="1"/>
  <c r="BV12" i="1"/>
  <c r="BV9" i="1"/>
  <c r="CC3" i="1" a="1"/>
  <c r="CC3" i="1" s="1"/>
  <c r="BW16" i="1"/>
  <c r="BW7" i="1"/>
  <c r="BY3" i="1"/>
  <c r="BW12" i="1"/>
  <c r="BW19" i="1"/>
  <c r="BW14" i="1"/>
  <c r="BV7" i="1"/>
  <c r="BV18" i="1"/>
  <c r="BV27" i="1"/>
  <c r="BW30" i="1"/>
  <c r="BW13" i="1"/>
  <c r="BW18" i="1"/>
  <c r="BV13" i="1"/>
  <c r="BV21" i="1"/>
  <c r="BW17" i="1"/>
  <c r="BV14" i="1"/>
  <c r="BW8" i="1"/>
  <c r="BV15" i="1"/>
  <c r="BW6" i="1"/>
  <c r="BW20" i="1"/>
  <c r="BV19" i="1"/>
  <c r="BV26" i="1"/>
  <c r="BW26" i="1"/>
  <c r="BV30" i="1"/>
  <c r="BW25" i="1"/>
  <c r="BV8" i="1"/>
  <c r="BW21" i="1"/>
  <c r="BV17" i="1"/>
  <c r="BV28" i="1"/>
  <c r="BV11" i="1"/>
  <c r="BW15" i="1"/>
  <c r="BV6" i="1"/>
  <c r="BW11" i="1"/>
  <c r="BV20" i="1"/>
  <c r="BV16" i="1"/>
  <c r="BV22" i="1"/>
  <c r="BW27" i="1"/>
  <c r="T8" i="1"/>
  <c r="AB6" i="2" l="1"/>
  <c r="AC5" i="2"/>
  <c r="L4" i="2"/>
  <c r="S10" i="1"/>
  <c r="AB11" i="1"/>
  <c r="AK10" i="1"/>
  <c r="AT10" i="1" s="1"/>
  <c r="BC10" i="1" s="1"/>
  <c r="BL10" i="1" s="1"/>
  <c r="BU9" i="1"/>
  <c r="CD9" i="1" s="1"/>
  <c r="CM9" i="1" s="1"/>
  <c r="CV9" i="1" s="1"/>
  <c r="T9" i="1"/>
  <c r="CF29" i="1"/>
  <c r="CE29" i="1"/>
  <c r="CF28" i="1"/>
  <c r="CE17" i="1"/>
  <c r="CF25" i="1"/>
  <c r="CF24" i="1"/>
  <c r="CE19" i="1"/>
  <c r="CF16" i="1"/>
  <c r="CF9" i="1"/>
  <c r="CE7" i="1"/>
  <c r="CL3" i="1" a="1"/>
  <c r="CL3" i="1" s="1"/>
  <c r="CE13" i="1"/>
  <c r="CE16" i="1"/>
  <c r="CH3" i="1"/>
  <c r="CE20" i="1"/>
  <c r="CE10" i="1"/>
  <c r="CF13" i="1"/>
  <c r="CF26" i="1"/>
  <c r="CE24" i="1"/>
  <c r="CF10" i="1"/>
  <c r="CF11" i="1"/>
  <c r="CF7" i="1"/>
  <c r="CF15" i="1"/>
  <c r="CF20" i="1"/>
  <c r="CF17" i="1"/>
  <c r="CE23" i="1"/>
  <c r="CF14" i="1"/>
  <c r="CE11" i="1"/>
  <c r="CE14" i="1"/>
  <c r="CF18" i="1"/>
  <c r="CE30" i="1"/>
  <c r="CE9" i="1"/>
  <c r="CE8" i="1"/>
  <c r="CF12" i="1"/>
  <c r="CE28" i="1"/>
  <c r="CE6" i="1"/>
  <c r="CE15" i="1"/>
  <c r="CF21" i="1"/>
  <c r="CE26" i="1"/>
  <c r="CF27" i="1"/>
  <c r="CF22" i="1"/>
  <c r="CE18" i="1"/>
  <c r="CE22" i="1"/>
  <c r="CE12" i="1"/>
  <c r="CF6" i="1"/>
  <c r="CE21" i="1"/>
  <c r="CE27" i="1"/>
  <c r="CF30" i="1"/>
  <c r="CF23" i="1"/>
  <c r="CF19" i="1"/>
  <c r="CF8" i="1"/>
  <c r="CE25" i="1"/>
  <c r="AD5" i="2" l="1"/>
  <c r="AC6" i="2"/>
  <c r="M4" i="2"/>
  <c r="BU10" i="1"/>
  <c r="CD10" i="1" s="1"/>
  <c r="CM10" i="1" s="1"/>
  <c r="CV10" i="1" s="1"/>
  <c r="T10" i="1"/>
  <c r="S11" i="1"/>
  <c r="AB12" i="1"/>
  <c r="AK11" i="1"/>
  <c r="AT11" i="1" s="1"/>
  <c r="BC11" i="1" s="1"/>
  <c r="BL11" i="1" s="1"/>
  <c r="CO28" i="1"/>
  <c r="CN28" i="1"/>
  <c r="CO24" i="1"/>
  <c r="CN24" i="1"/>
  <c r="CO25" i="1"/>
  <c r="CN25" i="1"/>
  <c r="CO22" i="1"/>
  <c r="CN22" i="1"/>
  <c r="CN29" i="1"/>
  <c r="CN21" i="1"/>
  <c r="CN10" i="1"/>
  <c r="CO9" i="1"/>
  <c r="CO17" i="1"/>
  <c r="CO27" i="1"/>
  <c r="CN23" i="1"/>
  <c r="CN9" i="1"/>
  <c r="CO8" i="1"/>
  <c r="CU3" i="1" a="1"/>
  <c r="CU3" i="1" s="1"/>
  <c r="CO6" i="1"/>
  <c r="CO14" i="1"/>
  <c r="CQ3" i="1"/>
  <c r="CN7" i="1"/>
  <c r="CN16" i="1"/>
  <c r="CO15" i="1"/>
  <c r="CN8" i="1"/>
  <c r="CN11" i="1"/>
  <c r="CO10" i="1"/>
  <c r="CO19" i="1"/>
  <c r="CN30" i="1"/>
  <c r="CO23" i="1"/>
  <c r="CO11" i="1"/>
  <c r="CN12" i="1"/>
  <c r="CN6" i="1"/>
  <c r="CN19" i="1"/>
  <c r="CN27" i="1"/>
  <c r="CO7" i="1"/>
  <c r="CN20" i="1"/>
  <c r="CN14" i="1"/>
  <c r="CN15" i="1"/>
  <c r="CO13" i="1"/>
  <c r="CO21" i="1"/>
  <c r="CN26" i="1"/>
  <c r="CO16" i="1"/>
  <c r="CO20" i="1"/>
  <c r="CN17" i="1"/>
  <c r="CO18" i="1"/>
  <c r="CO12" i="1"/>
  <c r="CN13" i="1"/>
  <c r="CN18" i="1"/>
  <c r="CO26" i="1"/>
  <c r="CO29" i="1"/>
  <c r="CO30" i="1"/>
  <c r="AD6" i="2" l="1"/>
  <c r="AE5" i="2"/>
  <c r="R92" i="1"/>
  <c r="V92" i="1" s="1"/>
  <c r="W92" i="1" s="1"/>
  <c r="N4" i="2"/>
  <c r="R80" i="1"/>
  <c r="V80" i="1" s="1"/>
  <c r="W80" i="1" s="1"/>
  <c r="T63" i="1"/>
  <c r="R98" i="1"/>
  <c r="V98" i="1" s="1"/>
  <c r="W98" i="1" s="1"/>
  <c r="R77" i="1"/>
  <c r="V77" i="1" s="1"/>
  <c r="W77" i="1" s="1"/>
  <c r="R87" i="1"/>
  <c r="V87" i="1" s="1"/>
  <c r="W87" i="1" s="1"/>
  <c r="T47" i="1"/>
  <c r="T66" i="1"/>
  <c r="T51" i="1"/>
  <c r="CX29" i="1"/>
  <c r="CW28" i="1"/>
  <c r="CX24" i="1"/>
  <c r="CW17" i="1"/>
  <c r="CW16" i="1"/>
  <c r="CX10" i="1"/>
  <c r="CX25" i="1"/>
  <c r="CW24" i="1"/>
  <c r="CX23" i="1"/>
  <c r="CW10" i="1"/>
  <c r="CX9" i="1"/>
  <c r="CW9" i="1"/>
  <c r="CW25" i="1"/>
  <c r="CZ3" i="1"/>
  <c r="CX12" i="1"/>
  <c r="CX7" i="1"/>
  <c r="CW13" i="1"/>
  <c r="CX18" i="1"/>
  <c r="CX27" i="1"/>
  <c r="CW30" i="1"/>
  <c r="CW29" i="1"/>
  <c r="CX21" i="1"/>
  <c r="CW21" i="1"/>
  <c r="CX15" i="1"/>
  <c r="CX11" i="1"/>
  <c r="CW23" i="1"/>
  <c r="CW11" i="1"/>
  <c r="CW20" i="1"/>
  <c r="CX28" i="1"/>
  <c r="CW14" i="1"/>
  <c r="CW12" i="1"/>
  <c r="CX19" i="1"/>
  <c r="CX26" i="1"/>
  <c r="CX30" i="1"/>
  <c r="CW22" i="1"/>
  <c r="CX8" i="1"/>
  <c r="CX14" i="1"/>
  <c r="CW7" i="1"/>
  <c r="CW18" i="1"/>
  <c r="CW27" i="1"/>
  <c r="CW15" i="1"/>
  <c r="CX6" i="1"/>
  <c r="CX13" i="1"/>
  <c r="CX16" i="1"/>
  <c r="CX20" i="1"/>
  <c r="CX22" i="1"/>
  <c r="CW8" i="1"/>
  <c r="CW6" i="1"/>
  <c r="CW19" i="1"/>
  <c r="CW26" i="1"/>
  <c r="CX17" i="1"/>
  <c r="R62" i="1"/>
  <c r="V62" i="1" s="1"/>
  <c r="W62" i="1" s="1"/>
  <c r="R33" i="1"/>
  <c r="V33" i="1" s="1"/>
  <c r="W33" i="1" s="1"/>
  <c r="R37" i="1"/>
  <c r="V37" i="1" s="1"/>
  <c r="W37" i="1" s="1"/>
  <c r="R55" i="1"/>
  <c r="V55" i="1" s="1"/>
  <c r="W55" i="1" s="1"/>
  <c r="R45" i="1"/>
  <c r="V45" i="1" s="1"/>
  <c r="W45" i="1" s="1"/>
  <c r="R59" i="1"/>
  <c r="V59" i="1" s="1"/>
  <c r="W59" i="1" s="1"/>
  <c r="R53" i="1"/>
  <c r="V53" i="1" s="1"/>
  <c r="W53" i="1" s="1"/>
  <c r="T35" i="1"/>
  <c r="R57" i="1"/>
  <c r="V57" i="1" s="1"/>
  <c r="W57" i="1" s="1"/>
  <c r="R56" i="1"/>
  <c r="V56" i="1" s="1"/>
  <c r="W56" i="1" s="1"/>
  <c r="R64" i="1"/>
  <c r="V64" i="1" s="1"/>
  <c r="W64" i="1" s="1"/>
  <c r="R41" i="1"/>
  <c r="V41" i="1" s="1"/>
  <c r="W41" i="1" s="1"/>
  <c r="R60" i="1"/>
  <c r="V60" i="1" s="1"/>
  <c r="W60" i="1" s="1"/>
  <c r="R63" i="1"/>
  <c r="V63" i="1" s="1"/>
  <c r="W63" i="1" s="1"/>
  <c r="R72" i="1"/>
  <c r="V72" i="1" s="1"/>
  <c r="W72" i="1" s="1"/>
  <c r="R67" i="1"/>
  <c r="V67" i="1" s="1"/>
  <c r="W67" i="1" s="1"/>
  <c r="T85" i="1"/>
  <c r="T7" i="1"/>
  <c r="R68" i="1"/>
  <c r="V68" i="1" s="1"/>
  <c r="W68" i="1" s="1"/>
  <c r="R66" i="1"/>
  <c r="V66" i="1" s="1"/>
  <c r="W66" i="1" s="1"/>
  <c r="R81" i="1"/>
  <c r="V81" i="1" s="1"/>
  <c r="W81" i="1" s="1"/>
  <c r="R50" i="1"/>
  <c r="V50" i="1" s="1"/>
  <c r="W50" i="1" s="1"/>
  <c r="T91" i="1"/>
  <c r="T56" i="1"/>
  <c r="R69" i="1"/>
  <c r="V69" i="1" s="1"/>
  <c r="W69" i="1" s="1"/>
  <c r="R40" i="1"/>
  <c r="V40" i="1" s="1"/>
  <c r="W40" i="1" s="1"/>
  <c r="R65" i="1"/>
  <c r="V65" i="1" s="1"/>
  <c r="W65" i="1" s="1"/>
  <c r="T6" i="1"/>
  <c r="T92" i="1"/>
  <c r="T31" i="1"/>
  <c r="R76" i="1"/>
  <c r="V76" i="1" s="1"/>
  <c r="W76" i="1" s="1"/>
  <c r="R49" i="1"/>
  <c r="V49" i="1" s="1"/>
  <c r="W49" i="1" s="1"/>
  <c r="R86" i="1"/>
  <c r="V86" i="1" s="1"/>
  <c r="W86" i="1" s="1"/>
  <c r="R52" i="1"/>
  <c r="V52" i="1" s="1"/>
  <c r="W52" i="1" s="1"/>
  <c r="T77" i="1"/>
  <c r="T103" i="1"/>
  <c r="T102" i="1"/>
  <c r="T61" i="1"/>
  <c r="R74" i="1"/>
  <c r="V74" i="1" s="1"/>
  <c r="W74" i="1" s="1"/>
  <c r="T105" i="1"/>
  <c r="R58" i="1"/>
  <c r="V58" i="1" s="1"/>
  <c r="W58" i="1" s="1"/>
  <c r="T97" i="1"/>
  <c r="R100" i="1"/>
  <c r="V100" i="1" s="1"/>
  <c r="W100" i="1" s="1"/>
  <c r="T98" i="1"/>
  <c r="R71" i="1"/>
  <c r="V71" i="1" s="1"/>
  <c r="W71" i="1" s="1"/>
  <c r="T96" i="1"/>
  <c r="R38" i="1"/>
  <c r="V38" i="1" s="1"/>
  <c r="W38" i="1" s="1"/>
  <c r="T53" i="1"/>
  <c r="R93" i="1"/>
  <c r="V93" i="1" s="1"/>
  <c r="W93" i="1" s="1"/>
  <c r="R44" i="1"/>
  <c r="V44" i="1" s="1"/>
  <c r="W44" i="1" s="1"/>
  <c r="R70" i="1"/>
  <c r="V70" i="1" s="1"/>
  <c r="W70" i="1" s="1"/>
  <c r="R54" i="1"/>
  <c r="V54" i="1" s="1"/>
  <c r="W54" i="1" s="1"/>
  <c r="R31" i="1"/>
  <c r="V31" i="1" s="1"/>
  <c r="W31" i="1" s="1"/>
  <c r="T84" i="1"/>
  <c r="T38" i="1"/>
  <c r="T40" i="1"/>
  <c r="R89" i="1"/>
  <c r="V89" i="1" s="1"/>
  <c r="W89" i="1" s="1"/>
  <c r="R88" i="1"/>
  <c r="V88" i="1" s="1"/>
  <c r="W88" i="1" s="1"/>
  <c r="T55" i="1"/>
  <c r="R84" i="1"/>
  <c r="V84" i="1" s="1"/>
  <c r="W84" i="1" s="1"/>
  <c r="R101" i="1"/>
  <c r="V101" i="1" s="1"/>
  <c r="W101" i="1" s="1"/>
  <c r="R95" i="1"/>
  <c r="V95" i="1" s="1"/>
  <c r="W95" i="1" s="1"/>
  <c r="T57" i="1"/>
  <c r="T65" i="1"/>
  <c r="T94" i="1"/>
  <c r="R73" i="1"/>
  <c r="V73" i="1" s="1"/>
  <c r="W73" i="1" s="1"/>
  <c r="T39" i="1"/>
  <c r="R96" i="1"/>
  <c r="V96" i="1" s="1"/>
  <c r="W96" i="1" s="1"/>
  <c r="T34" i="1"/>
  <c r="T48" i="1"/>
  <c r="T41" i="1"/>
  <c r="T64" i="1"/>
  <c r="R103" i="1"/>
  <c r="V103" i="1" s="1"/>
  <c r="W103" i="1" s="1"/>
  <c r="R61" i="1"/>
  <c r="V61" i="1" s="1"/>
  <c r="W61" i="1" s="1"/>
  <c r="R46" i="1"/>
  <c r="V46" i="1" s="1"/>
  <c r="W46" i="1" s="1"/>
  <c r="T86" i="1"/>
  <c r="T71" i="1"/>
  <c r="T46" i="1"/>
  <c r="R79" i="1"/>
  <c r="V79" i="1" s="1"/>
  <c r="W79" i="1" s="1"/>
  <c r="T49" i="1"/>
  <c r="R48" i="1"/>
  <c r="V48" i="1" s="1"/>
  <c r="W48" i="1" s="1"/>
  <c r="T93" i="1"/>
  <c r="R102" i="1"/>
  <c r="V102" i="1" s="1"/>
  <c r="W102" i="1" s="1"/>
  <c r="T67" i="1"/>
  <c r="R35" i="1"/>
  <c r="V35" i="1" s="1"/>
  <c r="W35" i="1" s="1"/>
  <c r="T81" i="1"/>
  <c r="R90" i="1"/>
  <c r="V90" i="1" s="1"/>
  <c r="W90" i="1" s="1"/>
  <c r="R78" i="1"/>
  <c r="V78" i="1" s="1"/>
  <c r="W78" i="1" s="1"/>
  <c r="R83" i="1"/>
  <c r="V83" i="1" s="1"/>
  <c r="W83" i="1" s="1"/>
  <c r="T69" i="1"/>
  <c r="R97" i="1"/>
  <c r="V97" i="1" s="1"/>
  <c r="W97" i="1" s="1"/>
  <c r="T100" i="1"/>
  <c r="T75" i="1"/>
  <c r="R85" i="1"/>
  <c r="V85" i="1" s="1"/>
  <c r="W85" i="1" s="1"/>
  <c r="T104" i="1"/>
  <c r="T99" i="1"/>
  <c r="T101" i="1"/>
  <c r="T37" i="1"/>
  <c r="T95" i="1"/>
  <c r="R36" i="1"/>
  <c r="V36" i="1" s="1"/>
  <c r="W36" i="1" s="1"/>
  <c r="T50" i="1"/>
  <c r="R104" i="1"/>
  <c r="V104" i="1" s="1"/>
  <c r="W104" i="1" s="1"/>
  <c r="R34" i="1"/>
  <c r="V34" i="1" s="1"/>
  <c r="W34" i="1" s="1"/>
  <c r="T45" i="1"/>
  <c r="T80" i="1"/>
  <c r="T72" i="1"/>
  <c r="R42" i="1"/>
  <c r="V42" i="1" s="1"/>
  <c r="W42" i="1" s="1"/>
  <c r="T32" i="1"/>
  <c r="T82" i="1"/>
  <c r="T88" i="1"/>
  <c r="T76" i="1"/>
  <c r="R43" i="1"/>
  <c r="V43" i="1" s="1"/>
  <c r="W43" i="1" s="1"/>
  <c r="R99" i="1"/>
  <c r="V99" i="1" s="1"/>
  <c r="W99" i="1" s="1"/>
  <c r="R39" i="1"/>
  <c r="V39" i="1" s="1"/>
  <c r="W39" i="1" s="1"/>
  <c r="T79" i="1"/>
  <c r="R32" i="1"/>
  <c r="V32" i="1" s="1"/>
  <c r="W32" i="1" s="1"/>
  <c r="T60" i="1"/>
  <c r="T42" i="1"/>
  <c r="T73" i="1"/>
  <c r="T87" i="1"/>
  <c r="T36" i="1"/>
  <c r="T59" i="1"/>
  <c r="T62" i="1"/>
  <c r="R94" i="1"/>
  <c r="V94" i="1" s="1"/>
  <c r="W94" i="1" s="1"/>
  <c r="T58" i="1"/>
  <c r="R105" i="1"/>
  <c r="V105" i="1" s="1"/>
  <c r="W105" i="1" s="1"/>
  <c r="T90" i="1"/>
  <c r="R82" i="1"/>
  <c r="V82" i="1" s="1"/>
  <c r="W82" i="1" s="1"/>
  <c r="S12" i="1"/>
  <c r="AB13" i="1"/>
  <c r="AK12" i="1"/>
  <c r="AT12" i="1" s="1"/>
  <c r="BC12" i="1" s="1"/>
  <c r="BL12" i="1" s="1"/>
  <c r="BU12" i="1" s="1"/>
  <c r="CD12" i="1" s="1"/>
  <c r="CM12" i="1" s="1"/>
  <c r="CV12" i="1" s="1"/>
  <c r="R51" i="1"/>
  <c r="V51" i="1" s="1"/>
  <c r="W51" i="1" s="1"/>
  <c r="T74" i="1"/>
  <c r="R75" i="1"/>
  <c r="V75" i="1" s="1"/>
  <c r="W75" i="1" s="1"/>
  <c r="T70" i="1"/>
  <c r="T89" i="1"/>
  <c r="T83" i="1"/>
  <c r="T43" i="1"/>
  <c r="T54" i="1"/>
  <c r="R91" i="1"/>
  <c r="V91" i="1" s="1"/>
  <c r="W91" i="1" s="1"/>
  <c r="BU11" i="1"/>
  <c r="CD11" i="1" s="1"/>
  <c r="CM11" i="1" s="1"/>
  <c r="CV11" i="1" s="1"/>
  <c r="T11" i="1"/>
  <c r="T68" i="1"/>
  <c r="T33" i="1"/>
  <c r="T44" i="1"/>
  <c r="T78" i="1"/>
  <c r="T52" i="1"/>
  <c r="R47" i="1"/>
  <c r="V47" i="1" s="1"/>
  <c r="W47" i="1" s="1"/>
  <c r="AE6" i="2" l="1"/>
  <c r="AF5" i="2"/>
  <c r="O4" i="2"/>
  <c r="S13" i="1"/>
  <c r="AK13" i="1"/>
  <c r="AT13" i="1" s="1"/>
  <c r="BC13" i="1" s="1"/>
  <c r="AB14" i="1"/>
  <c r="T12" i="1"/>
  <c r="AF6" i="2" l="1"/>
  <c r="AG5" i="2"/>
  <c r="P4" i="2"/>
  <c r="AK14" i="1"/>
  <c r="AT14" i="1" s="1"/>
  <c r="BC14" i="1" s="1"/>
  <c r="S14" i="1"/>
  <c r="AB15" i="1"/>
  <c r="BL13" i="1"/>
  <c r="BU13" i="1" s="1"/>
  <c r="CD13" i="1" s="1"/>
  <c r="CM13" i="1" s="1"/>
  <c r="CV13" i="1" s="1"/>
  <c r="T13" i="1"/>
  <c r="AG6" i="2" l="1"/>
  <c r="AH5" i="2"/>
  <c r="Q4" i="2"/>
  <c r="AB16" i="1"/>
  <c r="S15" i="1"/>
  <c r="AK15" i="1"/>
  <c r="AT15" i="1" s="1"/>
  <c r="BC15" i="1" s="1"/>
  <c r="BL14" i="1"/>
  <c r="BU14" i="1" s="1"/>
  <c r="CD14" i="1" s="1"/>
  <c r="CM14" i="1" s="1"/>
  <c r="CV14" i="1" s="1"/>
  <c r="T14" i="1"/>
  <c r="AI5" i="2" l="1"/>
  <c r="AH6" i="2"/>
  <c r="R4" i="2"/>
  <c r="BL15" i="1"/>
  <c r="BU15" i="1" s="1"/>
  <c r="CD15" i="1" s="1"/>
  <c r="CM15" i="1" s="1"/>
  <c r="CV15" i="1" s="1"/>
  <c r="T15" i="1"/>
  <c r="S16" i="1"/>
  <c r="AB17" i="1"/>
  <c r="AK16" i="1"/>
  <c r="AT16" i="1" s="1"/>
  <c r="BC16" i="1" s="1"/>
  <c r="AI6" i="2" l="1"/>
  <c r="AJ5" i="2"/>
  <c r="S4" i="2"/>
  <c r="AK17" i="1"/>
  <c r="AT17" i="1" s="1"/>
  <c r="BC17" i="1" s="1"/>
  <c r="S17" i="1"/>
  <c r="AB18" i="1"/>
  <c r="BL16" i="1"/>
  <c r="BU16" i="1" s="1"/>
  <c r="CD16" i="1" s="1"/>
  <c r="CM16" i="1" s="1"/>
  <c r="CV16" i="1" s="1"/>
  <c r="T16" i="1"/>
  <c r="AK5" i="2" l="1"/>
  <c r="AJ6" i="2"/>
  <c r="T4" i="2"/>
  <c r="BL17" i="1"/>
  <c r="BU17" i="1" s="1"/>
  <c r="CD17" i="1" s="1"/>
  <c r="CM17" i="1" s="1"/>
  <c r="CV17" i="1" s="1"/>
  <c r="T17" i="1"/>
  <c r="AK18" i="1"/>
  <c r="AT18" i="1" s="1"/>
  <c r="BC18" i="1" s="1"/>
  <c r="S18" i="1"/>
  <c r="AB19" i="1"/>
  <c r="AL5" i="2" l="1"/>
  <c r="AK6" i="2"/>
  <c r="U4" i="2"/>
  <c r="BL18" i="1"/>
  <c r="BU18" i="1" s="1"/>
  <c r="CD18" i="1" s="1"/>
  <c r="CM18" i="1" s="1"/>
  <c r="CV18" i="1" s="1"/>
  <c r="T18" i="1"/>
  <c r="S19" i="1"/>
  <c r="AK19" i="1"/>
  <c r="AT19" i="1" s="1"/>
  <c r="BC19" i="1" s="1"/>
  <c r="AB20" i="1"/>
  <c r="AL6" i="2" l="1"/>
  <c r="AM5" i="2"/>
  <c r="V4" i="2"/>
  <c r="S20" i="1"/>
  <c r="AB21" i="1"/>
  <c r="AK20" i="1"/>
  <c r="AT20" i="1" s="1"/>
  <c r="BL19" i="1"/>
  <c r="BU19" i="1" s="1"/>
  <c r="CD19" i="1" s="1"/>
  <c r="CM19" i="1" s="1"/>
  <c r="CV19" i="1" s="1"/>
  <c r="T19" i="1"/>
  <c r="AM6" i="2" l="1"/>
  <c r="AN5" i="2"/>
  <c r="W4" i="2"/>
  <c r="S21" i="1"/>
  <c r="AK21" i="1"/>
  <c r="AT21" i="1" s="1"/>
  <c r="AB22" i="1"/>
  <c r="BC20" i="1"/>
  <c r="BL20" i="1" s="1"/>
  <c r="BU20" i="1" s="1"/>
  <c r="CD20" i="1" s="1"/>
  <c r="CM20" i="1" s="1"/>
  <c r="CV20" i="1" s="1"/>
  <c r="T20" i="1"/>
  <c r="AN6" i="2" l="1"/>
  <c r="AO5" i="2"/>
  <c r="X4" i="2"/>
  <c r="S22" i="1"/>
  <c r="AK22" i="1"/>
  <c r="AT22" i="1" s="1"/>
  <c r="AB23" i="1"/>
  <c r="T21" i="1"/>
  <c r="BC21" i="1"/>
  <c r="BL21" i="1" s="1"/>
  <c r="BU21" i="1" s="1"/>
  <c r="CD21" i="1" s="1"/>
  <c r="CM21" i="1" s="1"/>
  <c r="CV21" i="1" s="1"/>
  <c r="AP5" i="2" l="1"/>
  <c r="AO6" i="2"/>
  <c r="Y4" i="2"/>
  <c r="S23" i="1"/>
  <c r="AK23" i="1"/>
  <c r="AT23" i="1" s="1"/>
  <c r="AB24" i="1"/>
  <c r="BC22" i="1"/>
  <c r="BL22" i="1" s="1"/>
  <c r="BU22" i="1" s="1"/>
  <c r="CD22" i="1" s="1"/>
  <c r="CM22" i="1" s="1"/>
  <c r="CV22" i="1" s="1"/>
  <c r="T22" i="1"/>
  <c r="AP6" i="2" l="1"/>
  <c r="AQ5" i="2"/>
  <c r="AQ6" i="2" s="1"/>
  <c r="Z4" i="2"/>
  <c r="T23" i="1"/>
  <c r="BC23" i="1"/>
  <c r="BL23" i="1" s="1"/>
  <c r="BU23" i="1" s="1"/>
  <c r="CD23" i="1" s="1"/>
  <c r="CM23" i="1" s="1"/>
  <c r="CV23" i="1" s="1"/>
  <c r="AK24" i="1"/>
  <c r="S24" i="1"/>
  <c r="AB25" i="1"/>
  <c r="BX6" i="2" l="1"/>
  <c r="AA4" i="2"/>
  <c r="AK25" i="1"/>
  <c r="S25" i="1"/>
  <c r="AB26" i="1"/>
  <c r="AT24" i="1"/>
  <c r="BC24" i="1" s="1"/>
  <c r="BL24" i="1" s="1"/>
  <c r="BU24" i="1" s="1"/>
  <c r="CD24" i="1" s="1"/>
  <c r="CM24" i="1" s="1"/>
  <c r="CV24" i="1" s="1"/>
  <c r="T24" i="1"/>
  <c r="AB4" i="2" l="1"/>
  <c r="AT25" i="1"/>
  <c r="BC25" i="1" s="1"/>
  <c r="BL25" i="1" s="1"/>
  <c r="BU25" i="1" s="1"/>
  <c r="CD25" i="1" s="1"/>
  <c r="CM25" i="1" s="1"/>
  <c r="CV25" i="1" s="1"/>
  <c r="T25" i="1"/>
  <c r="S26" i="1"/>
  <c r="AK26" i="1"/>
  <c r="AB27" i="1"/>
  <c r="AC4" i="2" l="1"/>
  <c r="S27" i="1"/>
  <c r="AB28" i="1"/>
  <c r="AK27" i="1"/>
  <c r="AT26" i="1"/>
  <c r="BC26" i="1" s="1"/>
  <c r="BL26" i="1" s="1"/>
  <c r="BU26" i="1" s="1"/>
  <c r="CD26" i="1" s="1"/>
  <c r="CM26" i="1" s="1"/>
  <c r="CV26" i="1" s="1"/>
  <c r="T26" i="1"/>
  <c r="AD4" i="2" l="1"/>
  <c r="AT27" i="1"/>
  <c r="BC27" i="1" s="1"/>
  <c r="BL27" i="1" s="1"/>
  <c r="BU27" i="1" s="1"/>
  <c r="CD27" i="1" s="1"/>
  <c r="CM27" i="1" s="1"/>
  <c r="CV27" i="1" s="1"/>
  <c r="T27" i="1"/>
  <c r="AB29" i="1"/>
  <c r="S28" i="1"/>
  <c r="AK28" i="1"/>
  <c r="AE4" i="2" l="1"/>
  <c r="S29" i="1"/>
  <c r="AB30" i="1"/>
  <c r="AK29" i="1"/>
  <c r="T28" i="1"/>
  <c r="AT28" i="1"/>
  <c r="BC28" i="1" s="1"/>
  <c r="BL28" i="1" s="1"/>
  <c r="BU28" i="1" s="1"/>
  <c r="CD28" i="1" s="1"/>
  <c r="CM28" i="1" s="1"/>
  <c r="CV28" i="1" s="1"/>
  <c r="AF4" i="2" l="1"/>
  <c r="AT29" i="1"/>
  <c r="BC29" i="1" s="1"/>
  <c r="BL29" i="1" s="1"/>
  <c r="BU29" i="1" s="1"/>
  <c r="CD29" i="1" s="1"/>
  <c r="CM29" i="1" s="1"/>
  <c r="CV29" i="1" s="1"/>
  <c r="T29" i="1"/>
  <c r="S30" i="1"/>
  <c r="AK30" i="1"/>
  <c r="AG4" i="2" l="1"/>
  <c r="AT30" i="1"/>
  <c r="T30" i="1"/>
  <c r="AB14" i="2" s="1"/>
  <c r="J14" i="2" l="1"/>
  <c r="L14" i="2"/>
  <c r="H14" i="2"/>
  <c r="I14" i="2"/>
  <c r="E14" i="2"/>
  <c r="F14" i="2"/>
  <c r="G14" i="2"/>
  <c r="N14" i="2"/>
  <c r="O14" i="2"/>
  <c r="C14" i="2"/>
  <c r="M14" i="2"/>
  <c r="K14" i="2"/>
  <c r="D14" i="2"/>
  <c r="P14" i="2"/>
  <c r="S14" i="2"/>
  <c r="Q14" i="2"/>
  <c r="R14" i="2"/>
  <c r="U14" i="2"/>
  <c r="T14" i="2"/>
  <c r="Y14" i="2"/>
  <c r="BC30" i="1"/>
  <c r="AC14" i="2"/>
  <c r="AH4" i="2"/>
  <c r="AG14" i="2"/>
  <c r="C13" i="2" l="1"/>
  <c r="BL30" i="1"/>
  <c r="AI4" i="2"/>
  <c r="BU30" i="1" l="1"/>
  <c r="C19" i="2"/>
  <c r="AJ4" i="2"/>
  <c r="AA8" i="1" l="1"/>
  <c r="AA7" i="1"/>
  <c r="AA6" i="1"/>
  <c r="CD30" i="1"/>
  <c r="AJ14" i="2"/>
  <c r="AK4" i="2"/>
  <c r="CM30" i="1" l="1"/>
  <c r="AE8" i="1"/>
  <c r="P8" i="1"/>
  <c r="AE7" i="1"/>
  <c r="P7" i="1"/>
  <c r="P6" i="1"/>
  <c r="AE6" i="1"/>
  <c r="AK14" i="2"/>
  <c r="AL4" i="2"/>
  <c r="Q6" i="1" l="1"/>
  <c r="Q7" i="1"/>
  <c r="Q8" i="1"/>
  <c r="CV30" i="1"/>
  <c r="AE11" i="2"/>
  <c r="AE10" i="2" s="1"/>
  <c r="C11" i="2"/>
  <c r="C10" i="2" s="1"/>
  <c r="AH11" i="2"/>
  <c r="AH10" i="2" s="1"/>
  <c r="V11" i="2"/>
  <c r="V10" i="2" s="1"/>
  <c r="X11" i="2"/>
  <c r="X10" i="2" s="1"/>
  <c r="O11" i="2"/>
  <c r="O10" i="2" s="1"/>
  <c r="AJ11" i="2"/>
  <c r="AJ10" i="2" s="1"/>
  <c r="AL14" i="2"/>
  <c r="AL11" i="2"/>
  <c r="AL10" i="2" s="1"/>
  <c r="AM4" i="2"/>
  <c r="O16" i="2" l="1"/>
  <c r="C17" i="2"/>
  <c r="C16" i="2"/>
  <c r="U11" i="2"/>
  <c r="U10" i="2" s="1"/>
  <c r="D20" i="2"/>
  <c r="T11" i="2"/>
  <c r="T10" i="2" s="1"/>
  <c r="Y11" i="2"/>
  <c r="Y10" i="2" s="1"/>
  <c r="Z11" i="2"/>
  <c r="Z10" i="2" s="1"/>
  <c r="N11" i="2"/>
  <c r="N10" i="2" s="1"/>
  <c r="AA11" i="2"/>
  <c r="AA10" i="2" s="1"/>
  <c r="AD11" i="2"/>
  <c r="AD10" i="2" s="1"/>
  <c r="S11" i="2"/>
  <c r="S10" i="2" s="1"/>
  <c r="AB11" i="2"/>
  <c r="AB10" i="2" s="1"/>
  <c r="W11" i="2"/>
  <c r="W10" i="2" s="1"/>
  <c r="AF11" i="2"/>
  <c r="AF10" i="2" s="1"/>
  <c r="D11" i="2"/>
  <c r="D10" i="2" s="1"/>
  <c r="AC11" i="2"/>
  <c r="AC10" i="2" s="1"/>
  <c r="AG11" i="2"/>
  <c r="AG10" i="2" s="1"/>
  <c r="AK11" i="2"/>
  <c r="AK10" i="2" s="1"/>
  <c r="AI11" i="2"/>
  <c r="AI10" i="2" s="1"/>
  <c r="R11" i="2"/>
  <c r="R10" i="2" s="1"/>
  <c r="AJ16" i="2"/>
  <c r="AM14" i="2"/>
  <c r="AM11" i="2"/>
  <c r="AM10" i="2" s="1"/>
  <c r="AN4" i="2"/>
  <c r="AL16" i="2"/>
  <c r="AG16" i="2" l="1"/>
  <c r="AC16" i="2"/>
  <c r="N16" i="2"/>
  <c r="Y16" i="2"/>
  <c r="D16" i="2"/>
  <c r="T16" i="2"/>
  <c r="R16" i="2"/>
  <c r="AB16" i="2"/>
  <c r="S16" i="2"/>
  <c r="U16" i="2"/>
  <c r="AK16" i="2"/>
  <c r="AN14" i="2"/>
  <c r="AN11" i="2"/>
  <c r="AN10" i="2" s="1"/>
  <c r="AO4" i="2"/>
  <c r="AM16" i="2"/>
  <c r="AN16" i="2" l="1"/>
  <c r="AO11" i="2"/>
  <c r="AO10" i="2" s="1"/>
  <c r="AP4" i="2"/>
  <c r="AO14" i="2"/>
  <c r="AO16" i="2" l="1"/>
  <c r="AP11" i="2"/>
  <c r="AP10" i="2" s="1"/>
  <c r="AP14" i="2"/>
  <c r="AQ4" i="2"/>
  <c r="AQ11" i="2" l="1"/>
  <c r="AQ10" i="2" s="1"/>
  <c r="AQ14" i="2"/>
  <c r="AR4" i="2"/>
  <c r="AP16" i="2"/>
  <c r="AQ16" i="2" l="1"/>
  <c r="AR11" i="2"/>
  <c r="AR10" i="2" s="1"/>
  <c r="AR14" i="2"/>
  <c r="AS4" i="2"/>
  <c r="AR16" i="2" l="1"/>
  <c r="AS14" i="2"/>
  <c r="AS11" i="2"/>
  <c r="AS10" i="2" s="1"/>
  <c r="AT4" i="2"/>
  <c r="AT11" i="2" l="1"/>
  <c r="AT10" i="2" s="1"/>
  <c r="AU4" i="2"/>
  <c r="AS16" i="2"/>
  <c r="AU14" i="2" l="1"/>
  <c r="AU11" i="2"/>
  <c r="AU10" i="2" s="1"/>
  <c r="AV4" i="2"/>
  <c r="AU16" i="2" l="1"/>
  <c r="AV14" i="2"/>
  <c r="AV11" i="2"/>
  <c r="AV10" i="2" s="1"/>
  <c r="AW4" i="2"/>
  <c r="AW11" i="2" l="1"/>
  <c r="AW10" i="2" s="1"/>
  <c r="AX4" i="2"/>
  <c r="AW14" i="2"/>
  <c r="AV16" i="2"/>
  <c r="AW16" i="2" l="1"/>
  <c r="AX11" i="2"/>
  <c r="AX10" i="2" s="1"/>
  <c r="AX14" i="2"/>
  <c r="AY4" i="2"/>
  <c r="AY11" i="2" l="1"/>
  <c r="AY10" i="2" s="1"/>
  <c r="AY14" i="2"/>
  <c r="AZ4" i="2"/>
  <c r="AX16" i="2"/>
  <c r="AZ11" i="2" l="1"/>
  <c r="AZ10" i="2" s="1"/>
  <c r="BA4" i="2"/>
  <c r="AY16" i="2"/>
  <c r="BA14" i="2" l="1"/>
  <c r="BA11" i="2"/>
  <c r="BA10" i="2" s="1"/>
  <c r="BB4" i="2"/>
  <c r="BA16" i="2" l="1"/>
  <c r="BB11" i="2"/>
  <c r="BB10" i="2" s="1"/>
  <c r="BC4" i="2"/>
  <c r="BC14" i="2" l="1"/>
  <c r="BC11" i="2"/>
  <c r="BC10" i="2" s="1"/>
  <c r="BD4" i="2"/>
  <c r="BC16" i="2" l="1"/>
  <c r="BD14" i="2"/>
  <c r="BD11" i="2"/>
  <c r="BD10" i="2" s="1"/>
  <c r="BE4" i="2"/>
  <c r="BE11" i="2" l="1"/>
  <c r="BE10" i="2" s="1"/>
  <c r="BF4" i="2"/>
  <c r="BE14" i="2"/>
  <c r="BD16" i="2"/>
  <c r="BF11" i="2" l="1"/>
  <c r="BF10" i="2" s="1"/>
  <c r="BF14" i="2"/>
  <c r="BG4" i="2"/>
  <c r="BE16" i="2"/>
  <c r="BG11" i="2" l="1"/>
  <c r="BG10" i="2" s="1"/>
  <c r="BG14" i="2"/>
  <c r="BH4" i="2"/>
  <c r="BF16" i="2"/>
  <c r="BH11" i="2" l="1"/>
  <c r="BH10" i="2" s="1"/>
  <c r="BH14" i="2"/>
  <c r="BI4" i="2"/>
  <c r="BG16" i="2"/>
  <c r="BH16" i="2" l="1"/>
  <c r="BI14" i="2"/>
  <c r="BI11" i="2"/>
  <c r="BI10" i="2" s="1"/>
  <c r="BJ4" i="2"/>
  <c r="BJ14" i="2" l="1"/>
  <c r="BJ11" i="2"/>
  <c r="BJ10" i="2" s="1"/>
  <c r="BK4" i="2"/>
  <c r="BI16" i="2"/>
  <c r="BK14" i="2" l="1"/>
  <c r="BK11" i="2"/>
  <c r="BK10" i="2" s="1"/>
  <c r="BL4" i="2"/>
  <c r="BJ16" i="2"/>
  <c r="BK16" i="2" l="1"/>
  <c r="BL14" i="2"/>
  <c r="BL11" i="2"/>
  <c r="BL10" i="2" s="1"/>
  <c r="BM4" i="2"/>
  <c r="BM11" i="2" l="1"/>
  <c r="BM10" i="2" s="1"/>
  <c r="BM14" i="2"/>
  <c r="BN4" i="2"/>
  <c r="BL16" i="2"/>
  <c r="BN11" i="2" l="1"/>
  <c r="BN10" i="2" s="1"/>
  <c r="BN14" i="2"/>
  <c r="BO4" i="2"/>
  <c r="BM16" i="2"/>
  <c r="BN16" i="2" l="1"/>
  <c r="BO11" i="2"/>
  <c r="BO10" i="2" s="1"/>
  <c r="BO14" i="2"/>
  <c r="BP4" i="2"/>
  <c r="BO16" i="2" l="1"/>
  <c r="BP11" i="2"/>
  <c r="BP10" i="2" s="1"/>
  <c r="BP14" i="2"/>
  <c r="BQ4" i="2"/>
  <c r="BP16" i="2" l="1"/>
  <c r="BQ14" i="2"/>
  <c r="BQ11" i="2"/>
  <c r="BQ10" i="2" s="1"/>
  <c r="BR4" i="2"/>
  <c r="BQ16" i="2" l="1"/>
  <c r="BR14" i="2"/>
  <c r="BR11" i="2"/>
  <c r="BR10" i="2" s="1"/>
  <c r="BS4" i="2"/>
  <c r="BS14" i="2" l="1"/>
  <c r="BS11" i="2"/>
  <c r="BS10" i="2" s="1"/>
  <c r="BT4" i="2"/>
  <c r="BR16" i="2"/>
  <c r="BT14" i="2" l="1"/>
  <c r="BT11" i="2"/>
  <c r="BT10" i="2" s="1"/>
  <c r="BU4" i="2"/>
  <c r="BS16" i="2"/>
  <c r="BU11" i="2" l="1"/>
  <c r="BU10" i="2" s="1"/>
  <c r="BU14" i="2"/>
  <c r="BV4" i="2"/>
  <c r="BT16" i="2"/>
  <c r="BV11" i="2" l="1"/>
  <c r="BV10" i="2" s="1"/>
  <c r="BV14" i="2"/>
  <c r="BW4" i="2"/>
  <c r="BU16" i="2"/>
  <c r="BW11" i="2" l="1"/>
  <c r="BW10" i="2" s="1"/>
  <c r="BW14" i="2"/>
  <c r="BV16" i="2"/>
  <c r="BW16" i="2" l="1"/>
  <c r="E10" i="2"/>
  <c r="F10" i="2"/>
  <c r="G10" i="2"/>
  <c r="H10" i="2"/>
  <c r="I10" i="2"/>
  <c r="J10" i="2"/>
  <c r="K10" i="2"/>
  <c r="L10" i="2"/>
  <c r="M10" i="2"/>
  <c r="P10" i="2"/>
  <c r="Q10" i="2"/>
  <c r="BX10" i="2"/>
  <c r="E11" i="2"/>
  <c r="F11" i="2"/>
  <c r="G11" i="2"/>
  <c r="H11" i="2"/>
  <c r="I11" i="2"/>
  <c r="J11" i="2"/>
  <c r="K11" i="2"/>
  <c r="L11" i="2"/>
  <c r="M11" i="2"/>
  <c r="P11" i="2"/>
  <c r="Q11" i="2"/>
  <c r="BX11" i="2"/>
  <c r="D13" i="2"/>
  <c r="E13" i="2"/>
  <c r="F13" i="2"/>
  <c r="G13" i="2"/>
  <c r="H13" i="2"/>
  <c r="I13" i="2"/>
  <c r="J13" i="2"/>
  <c r="K13" i="2"/>
  <c r="L13" i="2"/>
  <c r="M13" i="2"/>
  <c r="N13" i="2"/>
  <c r="O13" i="2"/>
  <c r="P13" i="2"/>
  <c r="Q13" i="2"/>
  <c r="R13" i="2"/>
  <c r="S13" i="2"/>
  <c r="T13" i="2"/>
  <c r="U13" i="2"/>
  <c r="V13" i="2"/>
  <c r="W13" i="2"/>
  <c r="X13" i="2"/>
  <c r="Y13" i="2"/>
  <c r="Z13" i="2"/>
  <c r="AA13" i="2"/>
  <c r="AB13" i="2"/>
  <c r="AC13" i="2"/>
  <c r="AD13" i="2"/>
  <c r="AE13" i="2"/>
  <c r="AF13" i="2"/>
  <c r="AG13" i="2"/>
  <c r="AH13" i="2"/>
  <c r="AI13" i="2"/>
  <c r="AJ13" i="2"/>
  <c r="AK13" i="2"/>
  <c r="AL13" i="2"/>
  <c r="AM13" i="2"/>
  <c r="AN13" i="2"/>
  <c r="AO13" i="2"/>
  <c r="AP13" i="2"/>
  <c r="AQ13" i="2"/>
  <c r="AR13" i="2"/>
  <c r="AS13" i="2"/>
  <c r="AT13" i="2"/>
  <c r="AU13" i="2"/>
  <c r="AV13" i="2"/>
  <c r="AW13" i="2"/>
  <c r="AX13" i="2"/>
  <c r="AY13" i="2"/>
  <c r="AZ13" i="2"/>
  <c r="BA13" i="2"/>
  <c r="BB13" i="2"/>
  <c r="BC13" i="2"/>
  <c r="BD13" i="2"/>
  <c r="BE13" i="2"/>
  <c r="BF13" i="2"/>
  <c r="BG13" i="2"/>
  <c r="BH13" i="2"/>
  <c r="BI13" i="2"/>
  <c r="BJ13" i="2"/>
  <c r="BK13" i="2"/>
  <c r="BL13" i="2"/>
  <c r="BM13" i="2"/>
  <c r="BN13" i="2"/>
  <c r="BO13" i="2"/>
  <c r="BP13" i="2"/>
  <c r="BQ13" i="2"/>
  <c r="BR13" i="2"/>
  <c r="BS13" i="2"/>
  <c r="BT13" i="2"/>
  <c r="BU13" i="2"/>
  <c r="BV13" i="2"/>
  <c r="BW13" i="2"/>
  <c r="BX13" i="2"/>
  <c r="V14" i="2"/>
  <c r="W14" i="2"/>
  <c r="X14" i="2"/>
  <c r="Z14" i="2"/>
  <c r="AA14" i="2"/>
  <c r="AD14" i="2"/>
  <c r="AE14" i="2"/>
  <c r="AF14" i="2"/>
  <c r="AH14" i="2"/>
  <c r="AI14" i="2"/>
  <c r="AT14" i="2"/>
  <c r="AZ14" i="2"/>
  <c r="BB14" i="2"/>
  <c r="BX14" i="2"/>
  <c r="E16" i="2"/>
  <c r="F16" i="2"/>
  <c r="G16" i="2"/>
  <c r="H16" i="2"/>
  <c r="I16" i="2"/>
  <c r="J16" i="2"/>
  <c r="K16" i="2"/>
  <c r="L16" i="2"/>
  <c r="M16" i="2"/>
  <c r="P16" i="2"/>
  <c r="Q16" i="2"/>
  <c r="V16" i="2"/>
  <c r="W16" i="2"/>
  <c r="X16" i="2"/>
  <c r="Z16" i="2"/>
  <c r="AA16" i="2"/>
  <c r="AD16" i="2"/>
  <c r="AE16" i="2"/>
  <c r="AF16" i="2"/>
  <c r="AH16" i="2"/>
  <c r="AI16" i="2"/>
  <c r="AT16" i="2"/>
  <c r="AZ16" i="2"/>
  <c r="BB16" i="2"/>
  <c r="BX16" i="2"/>
  <c r="D17" i="2"/>
  <c r="E17" i="2"/>
  <c r="F17" i="2"/>
  <c r="G17" i="2"/>
  <c r="H17" i="2"/>
  <c r="I17" i="2"/>
  <c r="J17" i="2"/>
  <c r="K17" i="2"/>
  <c r="L17" i="2"/>
  <c r="M17" i="2"/>
  <c r="N17" i="2"/>
  <c r="O17" i="2"/>
  <c r="P17" i="2"/>
  <c r="Q17" i="2"/>
  <c r="R17" i="2"/>
  <c r="S17" i="2"/>
  <c r="T17" i="2"/>
  <c r="U17" i="2"/>
  <c r="V17" i="2"/>
  <c r="W17" i="2"/>
  <c r="X17" i="2"/>
  <c r="Y17" i="2"/>
  <c r="Z17" i="2"/>
  <c r="AA17" i="2"/>
  <c r="AB17" i="2"/>
  <c r="AC17" i="2"/>
  <c r="AD17" i="2"/>
  <c r="AE17" i="2"/>
  <c r="AF17" i="2"/>
  <c r="AG17" i="2"/>
  <c r="AH17" i="2"/>
  <c r="AI17" i="2"/>
  <c r="AJ17" i="2"/>
  <c r="AK17" i="2"/>
  <c r="AL17" i="2"/>
  <c r="AM17" i="2"/>
  <c r="AN17" i="2"/>
  <c r="AO17" i="2"/>
  <c r="AP17" i="2"/>
  <c r="AQ17" i="2"/>
  <c r="AR17" i="2"/>
  <c r="AS17" i="2"/>
  <c r="AT17" i="2"/>
  <c r="AU17" i="2"/>
  <c r="AV17" i="2"/>
  <c r="AW17" i="2"/>
  <c r="AX17" i="2"/>
  <c r="AY17" i="2"/>
  <c r="AZ17" i="2"/>
  <c r="BA17" i="2"/>
  <c r="BB17" i="2"/>
  <c r="BC17" i="2"/>
  <c r="BD17" i="2"/>
  <c r="BE17" i="2"/>
  <c r="BF17" i="2"/>
  <c r="BG17" i="2"/>
  <c r="BH17" i="2"/>
  <c r="BI17" i="2"/>
  <c r="BJ17" i="2"/>
  <c r="BK17" i="2"/>
  <c r="BL17" i="2"/>
  <c r="BM17" i="2"/>
  <c r="BN17" i="2"/>
  <c r="BO17" i="2"/>
  <c r="BP17" i="2"/>
  <c r="BQ17" i="2"/>
  <c r="BR17" i="2"/>
  <c r="BS17" i="2"/>
  <c r="BT17" i="2"/>
  <c r="BU17" i="2"/>
  <c r="BV17" i="2"/>
  <c r="BW17" i="2"/>
  <c r="BX17" i="2"/>
  <c r="D19" i="2"/>
  <c r="E19" i="2"/>
  <c r="F19" i="2"/>
  <c r="G19" i="2"/>
  <c r="H19" i="2"/>
  <c r="I19" i="2"/>
  <c r="J19" i="2"/>
  <c r="K19" i="2"/>
  <c r="L19" i="2"/>
  <c r="M19" i="2"/>
  <c r="N19" i="2"/>
  <c r="O19" i="2"/>
  <c r="P19" i="2"/>
  <c r="Q19" i="2"/>
  <c r="R19" i="2"/>
  <c r="S19" i="2"/>
  <c r="T19" i="2"/>
  <c r="U19" i="2"/>
  <c r="V19" i="2"/>
  <c r="W19" i="2"/>
  <c r="X19" i="2"/>
  <c r="Y19" i="2"/>
  <c r="Z19" i="2"/>
  <c r="AA19" i="2"/>
  <c r="AB19" i="2"/>
  <c r="AC19" i="2"/>
  <c r="AD19" i="2"/>
  <c r="AE19" i="2"/>
  <c r="AF19" i="2"/>
  <c r="AG19" i="2"/>
  <c r="AH19" i="2"/>
  <c r="AI19" i="2"/>
  <c r="AJ19" i="2"/>
  <c r="AK19" i="2"/>
  <c r="AL19" i="2"/>
  <c r="AM19" i="2"/>
  <c r="AN19" i="2"/>
  <c r="AO19" i="2"/>
  <c r="AP19" i="2"/>
  <c r="AQ19" i="2"/>
  <c r="AR19" i="2"/>
  <c r="AS19" i="2"/>
  <c r="AT19" i="2"/>
  <c r="AU19" i="2"/>
  <c r="AV19" i="2"/>
  <c r="AW19" i="2"/>
  <c r="AX19" i="2"/>
  <c r="AY19" i="2"/>
  <c r="AZ19" i="2"/>
  <c r="BA19" i="2"/>
  <c r="BB19" i="2"/>
  <c r="BC19" i="2"/>
  <c r="BD19" i="2"/>
  <c r="BE19" i="2"/>
  <c r="BF19" i="2"/>
  <c r="BG19" i="2"/>
  <c r="BH19" i="2"/>
  <c r="BI19" i="2"/>
  <c r="BJ19" i="2"/>
  <c r="BK19" i="2"/>
  <c r="BL19" i="2"/>
  <c r="BM19" i="2"/>
  <c r="BN19" i="2"/>
  <c r="BO19" i="2"/>
  <c r="BP19" i="2"/>
  <c r="BQ19" i="2"/>
  <c r="BR19" i="2"/>
  <c r="BS19" i="2"/>
  <c r="BT19" i="2"/>
  <c r="BU19" i="2"/>
  <c r="BV19" i="2"/>
  <c r="BW19" i="2"/>
  <c r="E20" i="2"/>
  <c r="F20" i="2"/>
  <c r="G20" i="2"/>
  <c r="H20" i="2"/>
  <c r="I20" i="2"/>
  <c r="J20" i="2"/>
  <c r="K20" i="2"/>
  <c r="L20" i="2"/>
  <c r="M20" i="2"/>
  <c r="N20" i="2"/>
  <c r="O20" i="2"/>
  <c r="P20" i="2"/>
  <c r="Q20" i="2"/>
  <c r="R20" i="2"/>
  <c r="S20" i="2"/>
  <c r="T20" i="2"/>
  <c r="U20" i="2"/>
  <c r="V20" i="2"/>
  <c r="W20" i="2"/>
  <c r="X20" i="2"/>
  <c r="Y20" i="2"/>
  <c r="Z20" i="2"/>
  <c r="AA20" i="2"/>
  <c r="AB20" i="2"/>
  <c r="AC20" i="2"/>
  <c r="AD20" i="2"/>
  <c r="AE20" i="2"/>
  <c r="AF20" i="2"/>
  <c r="AG20" i="2"/>
  <c r="AH20" i="2"/>
  <c r="AI20" i="2"/>
  <c r="AJ20" i="2"/>
  <c r="AK20" i="2"/>
  <c r="AL20" i="2"/>
  <c r="AM20" i="2"/>
  <c r="AN20" i="2"/>
  <c r="AO20" i="2"/>
  <c r="AP20" i="2"/>
  <c r="AQ20" i="2"/>
  <c r="AR20" i="2"/>
  <c r="AS20" i="2"/>
  <c r="AT20" i="2"/>
  <c r="AU20" i="2"/>
  <c r="AV20" i="2"/>
  <c r="AW20" i="2"/>
  <c r="AX20" i="2"/>
  <c r="AY20" i="2"/>
  <c r="AZ20" i="2"/>
  <c r="BA20" i="2"/>
  <c r="BB20" i="2"/>
  <c r="BC20" i="2"/>
  <c r="BD20" i="2"/>
  <c r="BE20" i="2"/>
  <c r="BF20" i="2"/>
  <c r="BG20" i="2"/>
  <c r="BH20" i="2"/>
  <c r="BI20" i="2"/>
  <c r="BJ20" i="2"/>
  <c r="BK20" i="2"/>
  <c r="BL20" i="2"/>
  <c r="BM20" i="2"/>
  <c r="BN20" i="2"/>
  <c r="BO20" i="2"/>
  <c r="BP20" i="2"/>
  <c r="BQ20" i="2"/>
  <c r="BR20" i="2"/>
  <c r="BS20" i="2"/>
  <c r="BT20" i="2"/>
  <c r="BU20" i="2"/>
  <c r="BV20" i="2"/>
  <c r="BW20" i="2"/>
  <c r="D22" i="2"/>
  <c r="E22" i="2"/>
  <c r="F22" i="2"/>
  <c r="G22" i="2"/>
  <c r="H22" i="2"/>
  <c r="I22" i="2"/>
  <c r="J22" i="2"/>
  <c r="K22" i="2"/>
  <c r="L22" i="2"/>
  <c r="M22" i="2"/>
  <c r="N22" i="2"/>
  <c r="O22" i="2"/>
  <c r="P22" i="2"/>
  <c r="Q22" i="2"/>
  <c r="R22" i="2"/>
  <c r="S22" i="2"/>
  <c r="T22" i="2"/>
  <c r="U22" i="2"/>
  <c r="V22" i="2"/>
  <c r="W22" i="2"/>
  <c r="X22" i="2"/>
  <c r="Y22" i="2"/>
  <c r="Z22" i="2"/>
  <c r="AA22" i="2"/>
  <c r="AB22" i="2"/>
  <c r="AC22" i="2"/>
  <c r="AD22" i="2"/>
  <c r="AE22" i="2"/>
  <c r="AF22" i="2"/>
  <c r="AG22" i="2"/>
  <c r="AH22" i="2"/>
  <c r="AI22" i="2"/>
  <c r="AJ22" i="2"/>
  <c r="AK22" i="2"/>
  <c r="AL22" i="2"/>
  <c r="AM22" i="2"/>
  <c r="AN22" i="2"/>
  <c r="AO22" i="2"/>
  <c r="AP22" i="2"/>
  <c r="AQ22" i="2"/>
  <c r="AR22" i="2"/>
  <c r="AS22" i="2"/>
  <c r="AT22" i="2"/>
  <c r="AU22" i="2"/>
  <c r="AV22" i="2"/>
  <c r="AW22" i="2"/>
  <c r="AX22" i="2"/>
  <c r="AY22" i="2"/>
  <c r="AZ22" i="2"/>
  <c r="BA22" i="2"/>
  <c r="BB22" i="2"/>
  <c r="BC22" i="2"/>
  <c r="BD22" i="2"/>
  <c r="BE22" i="2"/>
  <c r="BF22" i="2"/>
  <c r="BG22" i="2"/>
  <c r="BH22" i="2"/>
  <c r="BI22" i="2"/>
  <c r="BJ22" i="2"/>
  <c r="BK22" i="2"/>
  <c r="BL22" i="2"/>
  <c r="BM22" i="2"/>
  <c r="BN22" i="2"/>
  <c r="BO22" i="2"/>
  <c r="BP22" i="2"/>
  <c r="BQ22" i="2"/>
  <c r="BR22" i="2"/>
  <c r="BS22" i="2"/>
  <c r="BT22" i="2"/>
  <c r="BU22" i="2"/>
  <c r="BV22" i="2"/>
  <c r="BW22" i="2"/>
  <c r="BX22" i="2"/>
  <c r="D23" i="2"/>
  <c r="E23" i="2"/>
  <c r="F23" i="2"/>
  <c r="G23" i="2"/>
  <c r="H23" i="2"/>
  <c r="I23" i="2"/>
  <c r="J23" i="2"/>
  <c r="K23" i="2"/>
  <c r="L23" i="2"/>
  <c r="M23" i="2"/>
  <c r="N23" i="2"/>
  <c r="O23" i="2"/>
  <c r="P23" i="2"/>
  <c r="Q23" i="2"/>
  <c r="R23" i="2"/>
  <c r="S23" i="2"/>
  <c r="T23" i="2"/>
  <c r="U23" i="2"/>
  <c r="V23" i="2"/>
  <c r="W23" i="2"/>
  <c r="X23" i="2"/>
  <c r="Y23" i="2"/>
  <c r="Z23" i="2"/>
  <c r="AA23" i="2"/>
  <c r="AB23" i="2"/>
  <c r="AC23" i="2"/>
  <c r="AD23" i="2"/>
  <c r="AE23" i="2"/>
  <c r="AF23" i="2"/>
  <c r="AG23" i="2"/>
  <c r="AH23" i="2"/>
  <c r="AI23" i="2"/>
  <c r="AJ23" i="2"/>
  <c r="AK23" i="2"/>
  <c r="AL23" i="2"/>
  <c r="AM23" i="2"/>
  <c r="AN23" i="2"/>
  <c r="AO23" i="2"/>
  <c r="AP23" i="2"/>
  <c r="AQ23" i="2"/>
  <c r="AR23" i="2"/>
  <c r="AS23" i="2"/>
  <c r="AT23" i="2"/>
  <c r="AU23" i="2"/>
  <c r="AV23" i="2"/>
  <c r="AW23" i="2"/>
  <c r="AX23" i="2"/>
  <c r="AY23" i="2"/>
  <c r="AZ23" i="2"/>
  <c r="BA23" i="2"/>
  <c r="BB23" i="2"/>
  <c r="BC23" i="2"/>
  <c r="BD23" i="2"/>
  <c r="BE23" i="2"/>
  <c r="BF23" i="2"/>
  <c r="BG23" i="2"/>
  <c r="BH23" i="2"/>
  <c r="BI23" i="2"/>
  <c r="BJ23" i="2"/>
  <c r="BK23" i="2"/>
  <c r="BL23" i="2"/>
  <c r="BM23" i="2"/>
  <c r="BN23" i="2"/>
  <c r="BO23" i="2"/>
  <c r="BP23" i="2"/>
  <c r="BQ23" i="2"/>
  <c r="BR23" i="2"/>
  <c r="BS23" i="2"/>
  <c r="BT23" i="2"/>
  <c r="BU23" i="2"/>
  <c r="BV23" i="2"/>
  <c r="BW23" i="2"/>
  <c r="BX23" i="2"/>
  <c r="D24" i="2"/>
  <c r="E24" i="2"/>
  <c r="F24" i="2"/>
  <c r="G24" i="2"/>
  <c r="H24" i="2"/>
  <c r="I24" i="2"/>
  <c r="J24" i="2"/>
  <c r="K24" i="2"/>
  <c r="L24" i="2"/>
  <c r="M24" i="2"/>
  <c r="N24" i="2"/>
  <c r="O24" i="2"/>
  <c r="P24" i="2"/>
  <c r="Q24" i="2"/>
  <c r="R24" i="2"/>
  <c r="S24" i="2"/>
  <c r="T24" i="2"/>
  <c r="U24" i="2"/>
  <c r="V24" i="2"/>
  <c r="W24" i="2"/>
  <c r="X24" i="2"/>
  <c r="Y24" i="2"/>
  <c r="Z24" i="2"/>
  <c r="AA24" i="2"/>
  <c r="AB24" i="2"/>
  <c r="AC24" i="2"/>
  <c r="AD24" i="2"/>
  <c r="AE24" i="2"/>
  <c r="AF24" i="2"/>
  <c r="AG24" i="2"/>
  <c r="AH24" i="2"/>
  <c r="AI24" i="2"/>
  <c r="AJ24" i="2"/>
  <c r="AK24" i="2"/>
  <c r="AL24" i="2"/>
  <c r="AM24" i="2"/>
  <c r="AN24" i="2"/>
  <c r="AO24" i="2"/>
  <c r="AP24" i="2"/>
  <c r="AQ24" i="2"/>
  <c r="AR24" i="2"/>
  <c r="AS24" i="2"/>
  <c r="AT24" i="2"/>
  <c r="AU24" i="2"/>
  <c r="AV24" i="2"/>
  <c r="AW24" i="2"/>
  <c r="AX24" i="2"/>
  <c r="AY24" i="2"/>
  <c r="AZ24" i="2"/>
  <c r="BA24" i="2"/>
  <c r="BB24" i="2"/>
  <c r="BC24" i="2"/>
  <c r="BD24" i="2"/>
  <c r="BE24" i="2"/>
  <c r="BF24" i="2"/>
  <c r="BG24" i="2"/>
  <c r="BH24" i="2"/>
  <c r="BI24" i="2"/>
  <c r="BJ24" i="2"/>
  <c r="BK24" i="2"/>
  <c r="BL24" i="2"/>
  <c r="BM24" i="2"/>
  <c r="BN24" i="2"/>
  <c r="BO24" i="2"/>
  <c r="BP24" i="2"/>
  <c r="BQ24" i="2"/>
  <c r="BR24" i="2"/>
  <c r="BS24" i="2"/>
  <c r="BT24" i="2"/>
  <c r="BU24" i="2"/>
  <c r="BV24" i="2"/>
  <c r="BW24" i="2"/>
  <c r="BX24" i="2"/>
  <c r="D25" i="2"/>
  <c r="E25" i="2"/>
  <c r="F25" i="2"/>
  <c r="G25" i="2"/>
  <c r="H25" i="2"/>
  <c r="I25" i="2"/>
  <c r="J25" i="2"/>
  <c r="K25" i="2"/>
  <c r="L25" i="2"/>
  <c r="M25" i="2"/>
  <c r="N25" i="2"/>
  <c r="O25" i="2"/>
  <c r="P25" i="2"/>
  <c r="Q25" i="2"/>
  <c r="R25" i="2"/>
  <c r="S25" i="2"/>
  <c r="T25" i="2"/>
  <c r="U25" i="2"/>
  <c r="V25" i="2"/>
  <c r="W25" i="2"/>
  <c r="X25" i="2"/>
  <c r="Y25" i="2"/>
  <c r="Z25" i="2"/>
  <c r="AA25" i="2"/>
  <c r="AB25" i="2"/>
  <c r="AC25" i="2"/>
  <c r="AD25" i="2"/>
  <c r="AE25" i="2"/>
  <c r="AF25" i="2"/>
  <c r="AG25" i="2"/>
  <c r="AH25" i="2"/>
  <c r="AI25" i="2"/>
  <c r="AJ25" i="2"/>
  <c r="AK25" i="2"/>
  <c r="AL25" i="2"/>
  <c r="AM25" i="2"/>
  <c r="AN25" i="2"/>
  <c r="AO25" i="2"/>
  <c r="AP25" i="2"/>
  <c r="AQ25" i="2"/>
  <c r="AR25" i="2"/>
  <c r="AS25" i="2"/>
  <c r="AT25" i="2"/>
  <c r="AU25" i="2"/>
  <c r="AV25" i="2"/>
  <c r="AW25" i="2"/>
  <c r="AX25" i="2"/>
  <c r="AY25" i="2"/>
  <c r="AZ25" i="2"/>
  <c r="BA25" i="2"/>
  <c r="BB25" i="2"/>
  <c r="BC25" i="2"/>
  <c r="BD25" i="2"/>
  <c r="BE25" i="2"/>
  <c r="BF25" i="2"/>
  <c r="BG25" i="2"/>
  <c r="BH25" i="2"/>
  <c r="BI25" i="2"/>
  <c r="BJ25" i="2"/>
  <c r="BK25" i="2"/>
  <c r="BL25" i="2"/>
  <c r="BM25" i="2"/>
  <c r="BN25" i="2"/>
  <c r="BO25" i="2"/>
  <c r="BP25" i="2"/>
  <c r="BQ25" i="2"/>
  <c r="BR25" i="2"/>
  <c r="BS25" i="2"/>
  <c r="BT25" i="2"/>
  <c r="BU25" i="2"/>
  <c r="BV25" i="2"/>
  <c r="BW25" i="2"/>
  <c r="BX25" i="2"/>
  <c r="D27" i="2"/>
  <c r="E27" i="2"/>
  <c r="F27" i="2"/>
  <c r="G27" i="2"/>
  <c r="H27" i="2"/>
  <c r="I27" i="2"/>
  <c r="J27" i="2"/>
  <c r="K27" i="2"/>
  <c r="L27" i="2"/>
  <c r="M27" i="2"/>
  <c r="N27" i="2"/>
  <c r="O27" i="2"/>
  <c r="P27" i="2"/>
  <c r="Q27" i="2"/>
  <c r="R27" i="2"/>
  <c r="S27" i="2"/>
  <c r="T27" i="2"/>
  <c r="U27" i="2"/>
  <c r="V27" i="2"/>
  <c r="W27" i="2"/>
  <c r="X27" i="2"/>
  <c r="Y27" i="2"/>
  <c r="Z27" i="2"/>
  <c r="AA27" i="2"/>
  <c r="AB27" i="2"/>
  <c r="AC27" i="2"/>
  <c r="AD27" i="2"/>
  <c r="AE27" i="2"/>
  <c r="AF27" i="2"/>
  <c r="AG27" i="2"/>
  <c r="AH27" i="2"/>
  <c r="AI27" i="2"/>
  <c r="AJ27" i="2"/>
  <c r="AK27" i="2"/>
  <c r="AL27" i="2"/>
  <c r="AM27" i="2"/>
  <c r="AN27" i="2"/>
  <c r="AO27" i="2"/>
  <c r="AP27" i="2"/>
  <c r="AQ27" i="2"/>
  <c r="AR27" i="2"/>
  <c r="AS27" i="2"/>
  <c r="AT27" i="2"/>
  <c r="AU27" i="2"/>
  <c r="AV27" i="2"/>
  <c r="AW27" i="2"/>
  <c r="AX27" i="2"/>
  <c r="AY27" i="2"/>
  <c r="AZ27" i="2"/>
  <c r="BA27" i="2"/>
  <c r="BB27" i="2"/>
  <c r="BC27" i="2"/>
  <c r="BD27" i="2"/>
  <c r="BE27" i="2"/>
  <c r="BF27" i="2"/>
  <c r="BG27" i="2"/>
  <c r="BH27" i="2"/>
  <c r="BI27" i="2"/>
  <c r="BJ27" i="2"/>
  <c r="BK27" i="2"/>
  <c r="BL27" i="2"/>
  <c r="BM27" i="2"/>
  <c r="BN27" i="2"/>
  <c r="BO27" i="2"/>
  <c r="BP27" i="2"/>
  <c r="BQ27" i="2"/>
  <c r="BR27" i="2"/>
  <c r="BS27" i="2"/>
  <c r="BT27" i="2"/>
  <c r="BU27" i="2"/>
  <c r="BV27" i="2"/>
  <c r="BW27" i="2"/>
  <c r="D28" i="2"/>
  <c r="E28" i="2"/>
  <c r="F28" i="2"/>
  <c r="G28" i="2"/>
  <c r="H28" i="2"/>
  <c r="I28" i="2"/>
  <c r="J28" i="2"/>
  <c r="K28" i="2"/>
  <c r="L28" i="2"/>
  <c r="M28" i="2"/>
  <c r="N28" i="2"/>
  <c r="O28" i="2"/>
  <c r="P28" i="2"/>
  <c r="Q28" i="2"/>
  <c r="R28" i="2"/>
  <c r="S28" i="2"/>
  <c r="T28" i="2"/>
  <c r="U28" i="2"/>
  <c r="V28" i="2"/>
  <c r="W28" i="2"/>
  <c r="X28" i="2"/>
  <c r="Y28" i="2"/>
  <c r="Z28" i="2"/>
  <c r="AA28" i="2"/>
  <c r="AB28" i="2"/>
  <c r="AC28" i="2"/>
  <c r="AD28" i="2"/>
  <c r="AE28" i="2"/>
  <c r="AF28" i="2"/>
  <c r="AG28" i="2"/>
  <c r="AH28" i="2"/>
  <c r="AI28" i="2"/>
  <c r="AJ28" i="2"/>
  <c r="AK28" i="2"/>
  <c r="AL28" i="2"/>
  <c r="AM28" i="2"/>
  <c r="AN28" i="2"/>
  <c r="AO28" i="2"/>
  <c r="AP28" i="2"/>
  <c r="AQ28" i="2"/>
  <c r="AR28" i="2"/>
  <c r="AS28" i="2"/>
  <c r="AT28" i="2"/>
  <c r="AU28" i="2"/>
  <c r="AV28" i="2"/>
  <c r="AW28" i="2"/>
  <c r="AX28" i="2"/>
  <c r="AY28" i="2"/>
  <c r="AZ28" i="2"/>
  <c r="BA28" i="2"/>
  <c r="BB28" i="2"/>
  <c r="BC28" i="2"/>
  <c r="BD28" i="2"/>
  <c r="BE28" i="2"/>
  <c r="BF28" i="2"/>
  <c r="BG28" i="2"/>
  <c r="BH28" i="2"/>
  <c r="BI28" i="2"/>
  <c r="BJ28" i="2"/>
  <c r="BK28" i="2"/>
  <c r="BL28" i="2"/>
  <c r="BM28" i="2"/>
  <c r="BN28" i="2"/>
  <c r="BO28" i="2"/>
  <c r="BP28" i="2"/>
  <c r="BQ28" i="2"/>
  <c r="BR28" i="2"/>
  <c r="BS28" i="2"/>
  <c r="BT28" i="2"/>
  <c r="BU28" i="2"/>
  <c r="BV28" i="2"/>
  <c r="BW28" i="2"/>
  <c r="U5" i="1"/>
  <c r="V5" i="1"/>
  <c r="W5" i="1"/>
  <c r="AA5" i="1"/>
  <c r="AJ5" i="1"/>
  <c r="AS5" i="1"/>
  <c r="R6" i="1"/>
  <c r="U6" i="1"/>
  <c r="V6" i="1"/>
  <c r="W6" i="1"/>
  <c r="AJ6" i="1"/>
  <c r="AN6" i="1"/>
  <c r="AS6" i="1"/>
  <c r="AW6" i="1"/>
  <c r="BF6" i="1"/>
  <c r="BO6" i="1"/>
  <c r="BX6" i="1"/>
  <c r="CG6" i="1"/>
  <c r="CP6" i="1"/>
  <c r="CY6" i="1"/>
  <c r="I7" i="1"/>
  <c r="R7" i="1"/>
  <c r="U7" i="1"/>
  <c r="V7" i="1"/>
  <c r="W7" i="1"/>
  <c r="AJ7" i="1"/>
  <c r="AN7" i="1"/>
  <c r="AS7" i="1"/>
  <c r="AW7" i="1"/>
  <c r="BF7" i="1"/>
  <c r="BO7" i="1"/>
  <c r="BX7" i="1"/>
  <c r="CG7" i="1"/>
  <c r="CP7" i="1"/>
  <c r="CY7" i="1"/>
  <c r="I8" i="1" a="1"/>
  <c r="I8" i="1"/>
  <c r="R8" i="1"/>
  <c r="U8" i="1"/>
  <c r="V8" i="1"/>
  <c r="W8" i="1"/>
  <c r="AJ8" i="1"/>
  <c r="AN8" i="1"/>
  <c r="AS8" i="1"/>
  <c r="AW8" i="1"/>
  <c r="BF8" i="1"/>
  <c r="BO8" i="1"/>
  <c r="BX8" i="1"/>
  <c r="CG8" i="1"/>
  <c r="CP8" i="1"/>
  <c r="CY8" i="1"/>
  <c r="I9" i="1"/>
  <c r="P9" i="1"/>
  <c r="Q9" i="1"/>
  <c r="R9" i="1"/>
  <c r="U9" i="1"/>
  <c r="V9" i="1"/>
  <c r="W9" i="1"/>
  <c r="AA9" i="1"/>
  <c r="AE9" i="1"/>
  <c r="AJ9" i="1"/>
  <c r="AN9" i="1"/>
  <c r="AS9" i="1"/>
  <c r="AW9" i="1"/>
  <c r="BF9" i="1"/>
  <c r="BO9" i="1"/>
  <c r="BX9" i="1"/>
  <c r="CG9" i="1"/>
  <c r="CP9" i="1"/>
  <c r="CY9" i="1"/>
  <c r="P10" i="1"/>
  <c r="Q10" i="1"/>
  <c r="R10" i="1"/>
  <c r="U10" i="1"/>
  <c r="V10" i="1"/>
  <c r="W10" i="1"/>
  <c r="AA10" i="1"/>
  <c r="AE10" i="1"/>
  <c r="AJ10" i="1"/>
  <c r="AN10" i="1"/>
  <c r="AS10" i="1"/>
  <c r="AW10" i="1"/>
  <c r="BF10" i="1"/>
  <c r="BO10" i="1"/>
  <c r="BX10" i="1"/>
  <c r="CG10" i="1"/>
  <c r="CP10" i="1"/>
  <c r="CY10" i="1"/>
  <c r="P11" i="1"/>
  <c r="Q11" i="1"/>
  <c r="R11" i="1"/>
  <c r="U11" i="1"/>
  <c r="V11" i="1"/>
  <c r="W11" i="1"/>
  <c r="AA11" i="1"/>
  <c r="AE11" i="1"/>
  <c r="AJ11" i="1"/>
  <c r="AN11" i="1"/>
  <c r="AW11" i="1"/>
  <c r="BF11" i="1"/>
  <c r="BO11" i="1"/>
  <c r="BX11" i="1"/>
  <c r="CG11" i="1"/>
  <c r="CP11" i="1"/>
  <c r="CY11" i="1"/>
  <c r="P12" i="1"/>
  <c r="Q12" i="1"/>
  <c r="R12" i="1"/>
  <c r="U12" i="1"/>
  <c r="V12" i="1"/>
  <c r="W12" i="1"/>
  <c r="AA12" i="1"/>
  <c r="AE12" i="1"/>
  <c r="AJ12" i="1"/>
  <c r="AN12" i="1"/>
  <c r="AW12" i="1"/>
  <c r="BF12" i="1"/>
  <c r="BO12" i="1"/>
  <c r="BX12" i="1"/>
  <c r="CG12" i="1"/>
  <c r="CP12" i="1"/>
  <c r="CY12" i="1"/>
  <c r="P13" i="1"/>
  <c r="Q13" i="1"/>
  <c r="R13" i="1"/>
  <c r="U13" i="1"/>
  <c r="V13" i="1"/>
  <c r="W13" i="1"/>
  <c r="AA13" i="1"/>
  <c r="AE13" i="1"/>
  <c r="AJ13" i="1"/>
  <c r="AN13" i="1"/>
  <c r="AW13" i="1"/>
  <c r="BF13" i="1"/>
  <c r="BO13" i="1"/>
  <c r="BX13" i="1"/>
  <c r="CG13" i="1"/>
  <c r="CP13" i="1"/>
  <c r="CY13" i="1"/>
  <c r="I14" i="1"/>
  <c r="P14" i="1"/>
  <c r="Q14" i="1"/>
  <c r="R14" i="1"/>
  <c r="U14" i="1"/>
  <c r="V14" i="1"/>
  <c r="W14" i="1"/>
  <c r="AA14" i="1"/>
  <c r="AE14" i="1"/>
  <c r="AJ14" i="1"/>
  <c r="AN14" i="1"/>
  <c r="AW14" i="1"/>
  <c r="BF14" i="1"/>
  <c r="BO14" i="1"/>
  <c r="BX14" i="1"/>
  <c r="CG14" i="1"/>
  <c r="CP14" i="1"/>
  <c r="CY14" i="1"/>
  <c r="I15" i="1"/>
  <c r="P15" i="1"/>
  <c r="Q15" i="1"/>
  <c r="R15" i="1"/>
  <c r="U15" i="1"/>
  <c r="V15" i="1"/>
  <c r="W15" i="1"/>
  <c r="AA15" i="1"/>
  <c r="AE15" i="1"/>
  <c r="AJ15" i="1"/>
  <c r="AN15" i="1"/>
  <c r="AW15" i="1"/>
  <c r="BF15" i="1"/>
  <c r="BO15" i="1"/>
  <c r="BX15" i="1"/>
  <c r="CG15" i="1"/>
  <c r="CP15" i="1"/>
  <c r="CY15" i="1"/>
  <c r="I16" i="1"/>
  <c r="P16" i="1"/>
  <c r="Q16" i="1"/>
  <c r="R16" i="1"/>
  <c r="U16" i="1"/>
  <c r="V16" i="1"/>
  <c r="W16" i="1"/>
  <c r="AA16" i="1"/>
  <c r="AE16" i="1"/>
  <c r="AJ16" i="1"/>
  <c r="AN16" i="1"/>
  <c r="AW16" i="1"/>
  <c r="BF16" i="1"/>
  <c r="BO16" i="1"/>
  <c r="BX16" i="1"/>
  <c r="CG16" i="1"/>
  <c r="CP16" i="1"/>
  <c r="CY16" i="1"/>
  <c r="I17" i="1"/>
  <c r="P17" i="1"/>
  <c r="Q17" i="1"/>
  <c r="R17" i="1"/>
  <c r="U17" i="1"/>
  <c r="V17" i="1"/>
  <c r="W17" i="1"/>
  <c r="AA17" i="1"/>
  <c r="AE17" i="1"/>
  <c r="AJ17" i="1"/>
  <c r="AN17" i="1"/>
  <c r="AW17" i="1"/>
  <c r="BF17" i="1"/>
  <c r="BO17" i="1"/>
  <c r="BX17" i="1"/>
  <c r="CG17" i="1"/>
  <c r="CP17" i="1"/>
  <c r="CY17" i="1"/>
  <c r="P18" i="1"/>
  <c r="Q18" i="1"/>
  <c r="R18" i="1"/>
  <c r="U18" i="1"/>
  <c r="V18" i="1"/>
  <c r="W18" i="1"/>
  <c r="AA18" i="1"/>
  <c r="AE18" i="1"/>
  <c r="AN18" i="1"/>
  <c r="AW18" i="1"/>
  <c r="BF18" i="1"/>
  <c r="BO18" i="1"/>
  <c r="BX18" i="1"/>
  <c r="CG18" i="1"/>
  <c r="CP18" i="1"/>
  <c r="CY18" i="1"/>
  <c r="P19" i="1"/>
  <c r="Q19" i="1"/>
  <c r="R19" i="1"/>
  <c r="U19" i="1"/>
  <c r="V19" i="1"/>
  <c r="W19" i="1"/>
  <c r="AA19" i="1"/>
  <c r="AE19" i="1"/>
  <c r="AN19" i="1"/>
  <c r="AW19" i="1"/>
  <c r="BF19" i="1"/>
  <c r="BO19" i="1"/>
  <c r="BX19" i="1"/>
  <c r="CG19" i="1"/>
  <c r="CP19" i="1"/>
  <c r="CY19" i="1"/>
  <c r="P20" i="1"/>
  <c r="Q20" i="1"/>
  <c r="R20" i="1"/>
  <c r="U20" i="1"/>
  <c r="V20" i="1"/>
  <c r="W20" i="1"/>
  <c r="AA20" i="1"/>
  <c r="AE20" i="1"/>
  <c r="AN20" i="1"/>
  <c r="AW20" i="1"/>
  <c r="BF20" i="1"/>
  <c r="BO20" i="1"/>
  <c r="BX20" i="1"/>
  <c r="CG20" i="1"/>
  <c r="CP20" i="1"/>
  <c r="CY20" i="1"/>
  <c r="I21" i="1"/>
  <c r="P21" i="1"/>
  <c r="Q21" i="1"/>
  <c r="R21" i="1"/>
  <c r="U21" i="1"/>
  <c r="V21" i="1"/>
  <c r="W21" i="1"/>
  <c r="AA21" i="1"/>
  <c r="AE21" i="1"/>
  <c r="AN21" i="1"/>
  <c r="AW21" i="1"/>
  <c r="BF21" i="1"/>
  <c r="BO21" i="1"/>
  <c r="BX21" i="1"/>
  <c r="CG21" i="1"/>
  <c r="CP21" i="1"/>
  <c r="CY21" i="1"/>
  <c r="I22" i="1"/>
  <c r="P22" i="1"/>
  <c r="Q22" i="1"/>
  <c r="R22" i="1"/>
  <c r="U22" i="1"/>
  <c r="V22" i="1"/>
  <c r="W22" i="1"/>
  <c r="AA22" i="1"/>
  <c r="AE22" i="1"/>
  <c r="AN22" i="1"/>
  <c r="AW22" i="1"/>
  <c r="BF22" i="1"/>
  <c r="BO22" i="1"/>
  <c r="BX22" i="1"/>
  <c r="CG22" i="1"/>
  <c r="CP22" i="1"/>
  <c r="CY22" i="1"/>
  <c r="I23" i="1"/>
  <c r="P23" i="1"/>
  <c r="Q23" i="1"/>
  <c r="R23" i="1"/>
  <c r="U23" i="1"/>
  <c r="V23" i="1"/>
  <c r="W23" i="1"/>
  <c r="AA23" i="1"/>
  <c r="AE23" i="1"/>
  <c r="AN23" i="1"/>
  <c r="AW23" i="1"/>
  <c r="BF23" i="1"/>
  <c r="BO23" i="1"/>
  <c r="BX23" i="1"/>
  <c r="CG23" i="1"/>
  <c r="CP23" i="1"/>
  <c r="CY23" i="1"/>
  <c r="I24" i="1"/>
  <c r="P24" i="1"/>
  <c r="Q24" i="1"/>
  <c r="R24" i="1"/>
  <c r="U24" i="1"/>
  <c r="V24" i="1"/>
  <c r="W24" i="1"/>
  <c r="AA24" i="1"/>
  <c r="AE24" i="1"/>
  <c r="AN24" i="1"/>
  <c r="AW24" i="1"/>
  <c r="BF24" i="1"/>
  <c r="BO24" i="1"/>
  <c r="BX24" i="1"/>
  <c r="CG24" i="1"/>
  <c r="CP24" i="1"/>
  <c r="CY24" i="1"/>
  <c r="P25" i="1"/>
  <c r="Q25" i="1"/>
  <c r="R25" i="1"/>
  <c r="U25" i="1"/>
  <c r="V25" i="1"/>
  <c r="W25" i="1"/>
  <c r="AA25" i="1"/>
  <c r="AE25" i="1"/>
  <c r="AN25" i="1"/>
  <c r="AW25" i="1"/>
  <c r="BF25" i="1"/>
  <c r="BO25" i="1"/>
  <c r="BX25" i="1"/>
  <c r="CG25" i="1"/>
  <c r="CP25" i="1"/>
  <c r="CY25" i="1"/>
  <c r="P26" i="1"/>
  <c r="Q26" i="1"/>
  <c r="R26" i="1"/>
  <c r="U26" i="1"/>
  <c r="V26" i="1"/>
  <c r="W26" i="1"/>
  <c r="AA26" i="1"/>
  <c r="AE26" i="1"/>
  <c r="AN26" i="1"/>
  <c r="AW26" i="1"/>
  <c r="BF26" i="1"/>
  <c r="BO26" i="1"/>
  <c r="BX26" i="1"/>
  <c r="CG26" i="1"/>
  <c r="CP26" i="1"/>
  <c r="CY26" i="1"/>
  <c r="P27" i="1"/>
  <c r="Q27" i="1"/>
  <c r="R27" i="1"/>
  <c r="U27" i="1"/>
  <c r="V27" i="1"/>
  <c r="W27" i="1"/>
  <c r="AA27" i="1"/>
  <c r="AE27" i="1"/>
  <c r="AN27" i="1"/>
  <c r="AW27" i="1"/>
  <c r="BF27" i="1"/>
  <c r="BO27" i="1"/>
  <c r="BX27" i="1"/>
  <c r="CG27" i="1"/>
  <c r="CP27" i="1"/>
  <c r="CY27" i="1"/>
  <c r="I28" i="1"/>
  <c r="P28" i="1"/>
  <c r="Q28" i="1"/>
  <c r="R28" i="1"/>
  <c r="U28" i="1"/>
  <c r="V28" i="1"/>
  <c r="W28" i="1"/>
  <c r="AA28" i="1"/>
  <c r="AE28" i="1"/>
  <c r="AN28" i="1"/>
  <c r="AW28" i="1"/>
  <c r="BF28" i="1"/>
  <c r="BO28" i="1"/>
  <c r="BX28" i="1"/>
  <c r="CG28" i="1"/>
  <c r="CP28" i="1"/>
  <c r="CY28" i="1"/>
  <c r="I29" i="1"/>
  <c r="P29" i="1"/>
  <c r="Q29" i="1"/>
  <c r="R29" i="1"/>
  <c r="U29" i="1"/>
  <c r="V29" i="1"/>
  <c r="W29" i="1"/>
  <c r="AA29" i="1"/>
  <c r="AE29" i="1"/>
  <c r="AN29" i="1"/>
  <c r="AW29" i="1"/>
  <c r="BF29" i="1"/>
  <c r="BO29" i="1"/>
  <c r="BX29" i="1"/>
  <c r="CG29" i="1"/>
  <c r="CP29" i="1"/>
  <c r="CY29" i="1"/>
  <c r="I30" i="1"/>
  <c r="P30" i="1"/>
  <c r="Q30" i="1"/>
  <c r="R30" i="1"/>
  <c r="U30" i="1"/>
  <c r="V30" i="1"/>
  <c r="W30" i="1"/>
  <c r="AA30" i="1"/>
  <c r="AE30" i="1"/>
  <c r="AN30" i="1"/>
  <c r="AW30" i="1"/>
  <c r="BF30" i="1"/>
  <c r="BO30" i="1"/>
  <c r="BX30" i="1"/>
  <c r="CG30" i="1"/>
  <c r="CP30" i="1"/>
  <c r="CY30" i="1"/>
  <c r="H35" i="1"/>
  <c r="I35" i="1"/>
  <c r="H36" i="1"/>
  <c r="I36" i="1"/>
  <c r="H37" i="1"/>
  <c r="I37" i="1"/>
  <c r="H38" i="1"/>
  <c r="I38" i="1"/>
  <c r="H39" i="1"/>
  <c r="I39" i="1"/>
  <c r="H40" i="1"/>
  <c r="I40" i="1"/>
  <c r="H41" i="1"/>
  <c r="I41" i="1"/>
  <c r="H42" i="1"/>
  <c r="I42" i="1"/>
  <c r="H43" i="1"/>
  <c r="I43" i="1"/>
  <c r="H44" i="1"/>
  <c r="I44" i="1"/>
  <c r="H45" i="1"/>
  <c r="I45" i="1"/>
  <c r="H46" i="1"/>
  <c r="I46" i="1"/>
  <c r="H47" i="1"/>
  <c r="I47" i="1"/>
  <c r="H48" i="1"/>
  <c r="I48" i="1"/>
  <c r="H49" i="1"/>
  <c r="I49" i="1"/>
  <c r="H50" i="1"/>
  <c r="I50" i="1"/>
  <c r="H51" i="1"/>
  <c r="I51" i="1"/>
  <c r="H52" i="1"/>
  <c r="I52" i="1"/>
  <c r="H53" i="1"/>
  <c r="I53" i="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<sst xmlns="http://schemas.openxmlformats.org/spreadsheetml/2006/main" count="3340" uniqueCount="138">
  <si>
    <t>Seed</t>
  </si>
  <si>
    <t>Company Name</t>
  </si>
  <si>
    <t>Invested Capital</t>
  </si>
  <si>
    <t>Round Size</t>
  </si>
  <si>
    <t>Ownership</t>
  </si>
  <si>
    <t>Model Setup</t>
  </si>
  <si>
    <t>Series B</t>
  </si>
  <si>
    <t>Series A</t>
  </si>
  <si>
    <t>Series C</t>
  </si>
  <si>
    <t>Series D</t>
  </si>
  <si>
    <t>Series E</t>
  </si>
  <si>
    <t>Series G</t>
  </si>
  <si>
    <t>Inputs</t>
  </si>
  <si>
    <t>TOTAL</t>
  </si>
  <si>
    <t>Post-$ Valuation</t>
  </si>
  <si>
    <t>Exit Inputs</t>
  </si>
  <si>
    <t>Exit Valuation</t>
  </si>
  <si>
    <t>Exit Round (After)</t>
  </si>
  <si>
    <t>Ownership at Exit</t>
  </si>
  <si>
    <t>Total Invested Capital</t>
  </si>
  <si>
    <t>Ownership at Entry</t>
  </si>
  <si>
    <t>Entry Round</t>
  </si>
  <si>
    <t/>
  </si>
  <si>
    <t>Fund-Level Metrics</t>
  </si>
  <si>
    <t>Total Commitments</t>
  </si>
  <si>
    <t>Management Fee (%)</t>
  </si>
  <si>
    <t>Management Fee ($)</t>
  </si>
  <si>
    <t>Gross IRR</t>
  </si>
  <si>
    <t>Net IRR</t>
  </si>
  <si>
    <t>Capital Deployment</t>
  </si>
  <si>
    <t>Performance</t>
  </si>
  <si>
    <t>Distributions</t>
  </si>
  <si>
    <t>Year 0</t>
  </si>
  <si>
    <t>Total</t>
  </si>
  <si>
    <t>ITD</t>
  </si>
  <si>
    <t>Net Contributions ($)</t>
  </si>
  <si>
    <t>Gross Contributions ($)</t>
  </si>
  <si>
    <t>Net Distributions ($)</t>
  </si>
  <si>
    <t>Gross Distributions ($)</t>
  </si>
  <si>
    <t>Net Cash Flows ($)</t>
  </si>
  <si>
    <t>Gross Cash Flows ($)</t>
  </si>
  <si>
    <t>GP Distributions ($)</t>
  </si>
  <si>
    <t>Distribution split to LP (%)</t>
  </si>
  <si>
    <t>Distribution split to GP (%)</t>
  </si>
  <si>
    <t>Percent Of Fund Size Invested</t>
  </si>
  <si>
    <t>Net TVPI</t>
  </si>
  <si>
    <t>Loss Ratio</t>
  </si>
  <si>
    <t>Loss Ratio (#) - Full Write-Offs</t>
  </si>
  <si>
    <t>Loss Ratio (#) - Less than Cost</t>
  </si>
  <si>
    <t>Loss Ratio ($) - Full Write-Offs</t>
  </si>
  <si>
    <t>Loss Ratio ($) - Less than Cost</t>
  </si>
  <si>
    <t>Instructions &amp; Assumptions</t>
  </si>
  <si>
    <t>Sensitivity</t>
  </si>
  <si>
    <t>Custom Input Mode</t>
  </si>
  <si>
    <t>Uniform Input Mode</t>
  </si>
  <si>
    <t>Standard mode for this model that assumes all initial checks occur at the same round, are of the same amount, and occur at the same valuation</t>
  </si>
  <si>
    <t xml:space="preserve">This mode may be useful for modeling different check sizes for deals of the same stage, and/or investment strategies that involve initial checks at different stages </t>
  </si>
  <si>
    <t>Uniform Inputs</t>
  </si>
  <si>
    <t>Mode Selection</t>
  </si>
  <si>
    <t>Available for Co-Invest</t>
  </si>
  <si>
    <t>Overrides the following assumptions: (i) Expected # of Deals and Expected # of Deals Receiving Follow-On, (ii) Financing Round Characteristics, and (iii) Market Assumptions</t>
  </si>
  <si>
    <t>This may be helpful for users who want to use Uniform Inputs as a starting place, but then make custom changes from there</t>
  </si>
  <si>
    <t>Copy to Custom Macro</t>
  </si>
  <si>
    <t>For uniform input mode, toggle cell E5 to 'Uniform Inputs'</t>
  </si>
  <si>
    <t>For custom input mode, toggle cell E5 to 'Custom Inputs'</t>
  </si>
  <si>
    <t>Replaces the above assumptions with custom inputs the user may enter in grouped collumns (e.g. column Z through AB)</t>
  </si>
  <si>
    <t>The model will use cells E23 - E26 for follow-on check sizes when in the 'Other Fixed Amount' setting</t>
  </si>
  <si>
    <t>Cell E11 increases the capital available for investment by assuming a specified percent of capital is recycled</t>
  </si>
  <si>
    <t>For user convenience, we have included a macro that copies (and hardcodes)  all uniform assumptions to the custom input columns (see 'Copy to Custom' button)</t>
  </si>
  <si>
    <t>Pro-rata assumes follow-on investments exercise pro-rata rights to maintain ownership, toggle cell E22 to 'Pro-Rata' for this assumption</t>
  </si>
  <si>
    <t>Fixed overrides pro-rata with a specified dollar amount for each follow-on round that may be more or less than pro-rata, toggle cell E22 to 'Other Fixed Amount' for this assumption</t>
  </si>
  <si>
    <t>The model will not allow you to invest more capital than is available (fund size less management fees plus any recycling) unless in custom input mode</t>
  </si>
  <si>
    <t>Instead, the model splits total remaining capital across investments evenly</t>
  </si>
  <si>
    <t>Ownership at exit depends on how many rounds of funding each company receives (Column M) and Market Assumptions</t>
  </si>
  <si>
    <t>Fund Fully Deployed/Reserved By</t>
  </si>
  <si>
    <t>Fund Fully Deployed/Reserved In</t>
  </si>
  <si>
    <t>Date</t>
  </si>
  <si>
    <t>Exit Date</t>
  </si>
  <si>
    <t>Entry Date</t>
  </si>
  <si>
    <t>Schedule of Investments</t>
  </si>
  <si>
    <t>Total Proceeds</t>
  </si>
  <si>
    <t>Capital Calls</t>
  </si>
  <si>
    <t>Fund Characteristics</t>
  </si>
  <si>
    <t>Inception Date:</t>
  </si>
  <si>
    <t>Fund Size:</t>
  </si>
  <si>
    <t>Allowance for Recycling (% of fund size)</t>
  </si>
  <si>
    <t>Expected # of Deals:</t>
  </si>
  <si>
    <t>Expected # of Deals Receiving Follow On (1)</t>
  </si>
  <si>
    <t>Expected # of Deals Receiving Follow On (2)</t>
  </si>
  <si>
    <t>Expected # of Deals Receiving Follow On (3)</t>
  </si>
  <si>
    <t>Expected # of Deals Receiving Follow On (4)</t>
  </si>
  <si>
    <t>Initial Checks per Month</t>
  </si>
  <si>
    <t>Financing Round Characteristics</t>
  </si>
  <si>
    <t>Initial Check Size:</t>
  </si>
  <si>
    <t>Initial Investment Round:</t>
  </si>
  <si>
    <t>Follow-on Check Size:</t>
  </si>
  <si>
    <t>Hurdle:</t>
  </si>
  <si>
    <t>Carried Interest:</t>
  </si>
  <si>
    <t>GP Catchup</t>
  </si>
  <si>
    <t>N/A</t>
  </si>
  <si>
    <t>Management Fee:</t>
  </si>
  <si>
    <t>Step Down Rate (per qtr after inv. period)</t>
  </si>
  <si>
    <t>Management Fee Floor</t>
  </si>
  <si>
    <t>Fund Life</t>
  </si>
  <si>
    <t>Investment Period</t>
  </si>
  <si>
    <t>Pre-Seed</t>
  </si>
  <si>
    <t>Series F</t>
  </si>
  <si>
    <t>Market Assumptions (Median)</t>
  </si>
  <si>
    <t>Time Between Rounds</t>
  </si>
  <si>
    <t>The best solution for this is to use Custom Input mode</t>
  </si>
  <si>
    <t>The attached model is meant to provide an illustrative view of the LP cash flow dynamics associated with a proposed venture capital fund. The model is designed to be customizable so that GPs and prospective LPs may model expected returns across a variety of investment strategies and portfolio construction approaches. The model is also dynamic, enabling users to analyze projected gross and net performance across a variey of market scenarios. We encourage users of this model to be particularly thoughtful about (i) expected dilution (driven by average round sizes and entry valuation assumptions), (ii) expected loss ratios given stage of entry, and (iii) sensitivity of returns. See below for more instructions and explanations of  key assumptions. Please feel free to reach out to the model author at dclayton@svb.com with questions or suggestions.
-SVB Capital Team</t>
  </si>
  <si>
    <t>INSTRUCTIONS</t>
  </si>
  <si>
    <t>ASSUMPTIONS</t>
  </si>
  <si>
    <t>LIMITATIONS</t>
  </si>
  <si>
    <t>Investment pace is determined by (i) Initial Checks per Month (cell E17), which spaces out initial investments accordingly, and (ii) Timing Between Rounds (cell E28), which determines the timing of follow-on rounds</t>
  </si>
  <si>
    <t>Annual Cash Flows</t>
  </si>
  <si>
    <r>
      <rPr>
        <b/>
        <sz val="11"/>
        <color theme="1"/>
        <rFont val="Calibri"/>
        <family val="2"/>
        <scheme val="minor"/>
      </rPr>
      <t xml:space="preserve">1. </t>
    </r>
    <r>
      <rPr>
        <sz val="11"/>
        <color theme="1"/>
        <rFont val="Calibri"/>
        <family val="2"/>
        <scheme val="minor"/>
      </rPr>
      <t>The model currently assumes all follow-on investments are made in the earliest investments in the portfolio. This likely overstates pace of deployment and understates IRR</t>
    </r>
  </si>
  <si>
    <r>
      <rPr>
        <b/>
        <sz val="11"/>
        <color theme="1"/>
        <rFont val="Calibri"/>
        <family val="2"/>
        <scheme val="minor"/>
      </rPr>
      <t xml:space="preserve">1. </t>
    </r>
    <r>
      <rPr>
        <sz val="11"/>
        <color theme="1"/>
        <rFont val="Calibri"/>
        <family val="2"/>
        <scheme val="minor"/>
      </rPr>
      <t>The model is pre-filled with market assumptions (average round sizes and valuations) sourced via Pitchbook as of September 30, 2021--please feel free to change these assumptions</t>
    </r>
  </si>
  <si>
    <t>Cash Available for Recycling (Cumulative)</t>
  </si>
  <si>
    <t>Maximum Capital to Invest (Incl. Recycling)</t>
  </si>
  <si>
    <t>Cash Used for Recycling (Cumulative)</t>
  </si>
  <si>
    <r>
      <t xml:space="preserve">2.  </t>
    </r>
    <r>
      <rPr>
        <sz val="11"/>
        <color theme="1"/>
        <rFont val="Calibri"/>
        <family val="2"/>
        <scheme val="minor"/>
      </rPr>
      <t xml:space="preserve">All </t>
    </r>
    <r>
      <rPr>
        <sz val="11"/>
        <color rgb="FF0000FF"/>
        <rFont val="Calibri"/>
        <family val="2"/>
        <scheme val="minor"/>
      </rPr>
      <t>blue</t>
    </r>
    <r>
      <rPr>
        <sz val="11"/>
        <color theme="1"/>
        <rFont val="Calibri"/>
        <family val="2"/>
        <scheme val="minor"/>
      </rPr>
      <t xml:space="preserve"> numbers (e.g., market assumptions, cash flow assumptions, etc.) are inputs; feel free to change them as you please!</t>
    </r>
  </si>
  <si>
    <r>
      <rPr>
        <b/>
        <sz val="11"/>
        <color theme="1"/>
        <rFont val="Calibri"/>
        <family val="2"/>
        <scheme val="minor"/>
      </rPr>
      <t>3</t>
    </r>
    <r>
      <rPr>
        <sz val="11"/>
        <color theme="1"/>
        <rFont val="Calibri"/>
        <family val="2"/>
        <scheme val="minor"/>
      </rPr>
      <t xml:space="preserve">.  All </t>
    </r>
    <r>
      <rPr>
        <sz val="11"/>
        <color rgb="FF00B050"/>
        <rFont val="Calibri"/>
        <family val="2"/>
        <scheme val="minor"/>
      </rPr>
      <t>green</t>
    </r>
    <r>
      <rPr>
        <sz val="11"/>
        <color theme="1"/>
        <rFont val="Calibri"/>
        <family val="2"/>
        <scheme val="minor"/>
      </rPr>
      <t xml:space="preserve"> numbers are formulas that include links to other tabs</t>
    </r>
  </si>
  <si>
    <t>4.  The model has two primary modes; (i) uniform inputs, and (ii) custom inputs</t>
  </si>
  <si>
    <t>5. Uniform Input Mode can either use Pro-Rata assumptions or Fixed assumptions for follow-on</t>
  </si>
  <si>
    <t>6. Investment Pace</t>
  </si>
  <si>
    <t>7. Recycling</t>
  </si>
  <si>
    <t>8. Performance is driven by Exit Inputs found in Column K and Column M</t>
  </si>
  <si>
    <r>
      <t xml:space="preserve">1.  </t>
    </r>
    <r>
      <rPr>
        <sz val="11"/>
        <color theme="1"/>
        <rFont val="Calibri"/>
        <family val="2"/>
        <scheme val="minor"/>
      </rPr>
      <t>Ensure iterative calculations are turned on</t>
    </r>
  </si>
  <si>
    <t>Gross MOIC</t>
  </si>
  <si>
    <t>Gross MOIC (ex. Company 1)</t>
  </si>
  <si>
    <t>Gross MOIC (ex. Company 1 &amp; 2)</t>
  </si>
  <si>
    <t>Gross MOIC (ex. Company 1, 2 &amp; 3)</t>
  </si>
  <si>
    <t>Pro-Rata</t>
  </si>
  <si>
    <t>Annual Expenses (% of fund size)</t>
  </si>
  <si>
    <t>Annual Expenses ($)</t>
  </si>
  <si>
    <t>Management Fees &amp; Expenses ($)</t>
  </si>
  <si>
    <t>Fee Structure &amp; Expenses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</si>
</sst>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44" formatCode="_(&quot;$&quot;* #,##0.00_);_(&quot;$&quot;* \(#,##0.00\);_(&quot;$&quot;* &quot;-&quot;??_);_(@_)"/>
    <numFmt numFmtId="164" formatCode="_(&quot;$&quot;* #,##0_);_(&quot;$&quot;* \(#,##0\);_(&quot;$&quot;* &quot;-&quot;??_);_(@_)"/>
    <numFmt numFmtId="165" formatCode="0.0\x"/>
    <numFmt numFmtId="166" formatCode="&quot;Company &quot;0"/>
    <numFmt numFmtId="167" formatCode="_([$$-409]* #,##0_);_([$$-409]* \(#,##0\);_([$$-409]* &quot;-&quot;??_);_(@_)"/>
    <numFmt numFmtId="168" formatCode="0.0%"/>
    <numFmt numFmtId="169" formatCode="0.000%"/>
    <numFmt numFmtId="170" formatCode="_(&quot;$&quot;* #,##0_);_(&quot;$&quot;* \(#,##0\);_(&quot;$&quot;* &quot;-&quot;?_);_(@_)"/>
    <numFmt numFmtId="171" formatCode="&quot;Year &quot;#"/>
    <numFmt numFmtId="172" formatCode="#,##0.0%_);\(#,##0.0%\)"/>
    <numFmt numFmtId="173" formatCode="#&quot; months&quot;"/>
    <numFmt numFmtId="174" formatCode="0.0"/>
    <numFmt numFmtId="175" formatCode="[$-409]mmm\-yy;@"/>
    <numFmt numFmtId="176" formatCode="mmm\-yyyy"/>
    <numFmt numFmtId="177" formatCode="_(&quot;$&quot;* #,##0.00_);_(&quot;$&quot;* \(#,##0.00\);_(&quot;$&quot;* &quot;-&quot;?_);_(@_)"/>
    <numFmt numFmtId="178" formatCode="_(&quot;$&quot;* #,##0.00000000000_);_(&quot;$&quot;* \(#,##0.00000000000\);_(&quot;$&quot;* &quot;-&quot;??_);_(@_)"/>
  </numFmts>
  <fonts count="14" x14ac:knownFonts="1">
    <font>
      <sz val="11"/>
      <color theme="1"/>
      <name val="Calibri"/>
      <family val="2"/>
      <scheme val="minor"/>
    </font>
    <font>
      <sz val="11"/>
      <color theme="1"/>
      <name val="Calibri"/>
      <family val="2"/>
      <scheme val="minor"/>
    </font>
    <font>
      <b/>
      <sz val="11"/>
      <color theme="0"/>
      <name val="Calibri"/>
      <family val="2"/>
      <scheme val="minor"/>
    </font>
    <font>
      <b/>
      <sz val="11"/>
      <color theme="1"/>
      <name val="Calibri"/>
      <family val="2"/>
      <scheme val="minor"/>
    </font>
    <font>
      <sz val="11"/>
      <color theme="0"/>
      <name val="Calibri"/>
      <family val="2"/>
      <scheme val="minor"/>
    </font>
    <font>
      <sz val="11"/>
      <color rgb="FF0000FF"/>
      <name val="Calibri"/>
      <family val="2"/>
      <scheme val="minor"/>
    </font>
    <font>
      <sz val="8"/>
      <name val="Calibri"/>
      <family val="2"/>
      <scheme val="minor"/>
    </font>
    <font>
      <b/>
      <sz val="11"/>
      <name val="Calibri"/>
      <family val="2"/>
      <scheme val="minor"/>
    </font>
    <font>
      <sz val="11"/>
      <name val="Calibri"/>
      <family val="2"/>
      <scheme val="minor"/>
    </font>
    <font>
      <sz val="11"/>
      <color rgb="FF00B050"/>
      <name val="Calibri"/>
      <family val="2"/>
      <scheme val="minor"/>
    </font>
    <font>
      <b/>
      <i/>
      <sz val="11"/>
      <color theme="1"/>
      <name val="Calibri"/>
      <family val="2"/>
      <scheme val="minor"/>
    </font>
    <font>
      <i/>
      <sz val="11"/>
      <color theme="1"/>
      <name val="Calibri"/>
      <family val="2"/>
      <scheme val="minor"/>
    </font>
    <font>
      <i/>
      <u/>
      <sz val="11"/>
      <color theme="1"/>
      <name val="Calibri"/>
      <family val="2"/>
      <scheme val="minor"/>
    </font>
    <font>
      <sz val="11"/>
      <color rgb="FF000000"/>
      <name val="Calibri"/>
      <family val="2"/>
    </font>
  </fonts>
  <fills count="8">
    <fill>
      <patternFill patternType="none"/>
    </fill>
    <fill>
      <patternFill patternType="gray125"/>
    </fill>
    <fill>
      <patternFill patternType="solid">
        <fgColor theme="2"/>
        <bgColor indexed="64"/>
      </patternFill>
    </fill>
    <fill>
      <patternFill patternType="solid">
        <fgColor theme="1" tint="0.34998626667073579"/>
        <bgColor indexed="64"/>
      </patternFill>
    </fill>
    <fill>
      <patternFill patternType="solid">
        <fgColor theme="3" tint="0.39997558519241921"/>
        <bgColor indexed="64"/>
      </patternFill>
    </fill>
    <fill>
      <patternFill patternType="solid">
        <fgColor theme="3" tint="-0.249977111117893"/>
        <bgColor indexed="64"/>
      </patternFill>
    </fill>
    <fill>
      <patternFill patternType="solid">
        <fgColor theme="3" tint="0.59999389629810485"/>
        <bgColor indexed="64"/>
      </patternFill>
    </fill>
    <fill>
      <patternFill patternType="solid">
        <fgColor rgb="FFFFFF99"/>
        <bgColor indexed="64"/>
      </patternFill>
    </fill>
  </fills>
  <borders count="16">
    <border>
      <left/>
      <right/>
      <top/>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top/>
      <bottom/>
      <diagonal/>
    </border>
    <border>
      <left/>
      <right style="thin">
        <color theme="0"/>
      </right>
      <top/>
      <bottom/>
      <diagonal/>
    </border>
    <border>
      <left style="thin">
        <color theme="0"/>
      </left>
      <right/>
      <top/>
      <bottom style="thin">
        <color theme="0"/>
      </bottom>
      <diagonal/>
    </border>
    <border>
      <left style="thin">
        <color indexed="64"/>
      </left>
      <right/>
      <top style="thin">
        <color theme="0"/>
      </top>
      <bottom style="thin">
        <color theme="0"/>
      </bottom>
      <diagonal/>
    </border>
    <border>
      <left/>
      <right/>
      <top/>
      <bottom style="thick">
        <color indexed="64"/>
      </bottom>
      <diagonal/>
    </border>
    <border>
      <left/>
      <right/>
      <top/>
      <bottom style="thin">
        <color theme="0"/>
      </bottom>
      <diagonal/>
    </border>
    <border>
      <left style="thin">
        <color theme="0"/>
      </left>
      <right/>
      <top/>
      <bottom style="thin">
        <color indexed="64"/>
      </bottom>
      <diagonal/>
    </border>
    <border>
      <left/>
      <right/>
      <top/>
      <bottom style="thin">
        <color indexed="64"/>
      </bottom>
      <diagonal/>
    </border>
  </borders>
  <cellStyleXfs count="3">
    <xf numFmtId="0" fontId="0" fillId="0" borderId="0"/>
    <xf numFmtId="44" fontId="1" fillId="0" borderId="0" applyFont="0" applyFill="0" applyBorder="0" applyAlignment="0" applyProtection="0"/>
    <xf numFmtId="9" fontId="1" fillId="0" borderId="0" applyFont="0" applyFill="0" applyBorder="0" applyAlignment="0" applyProtection="0"/>
  </cellStyleXfs>
  <cellXfs count="173">
    <xf numFmtId="0" fontId="0" fillId="0" borderId="0" xfId="0"/>
    <xf numFmtId="164" fontId="0" fillId="0" borderId="0" xfId="1" applyNumberFormat="1" applyFont="1"/>
    <xf numFmtId="0" fontId="0" fillId="0" borderId="0" xfId="0" applyFont="1"/>
    <xf numFmtId="0" fontId="0" fillId="0" borderId="0" xfId="0" applyFont="1" applyBorder="1"/>
    <xf numFmtId="165" fontId="5" fillId="0" borderId="0" xfId="0" applyNumberFormat="1" applyFont="1" applyBorder="1"/>
    <xf numFmtId="0" fontId="7" fillId="0" borderId="0" xfId="0" applyFont="1" applyFill="1" applyBorder="1" applyAlignment="1">
      <alignment horizontal="centerContinuous"/>
    </xf>
    <xf numFmtId="166" fontId="0" fillId="0" borderId="0" xfId="0" applyNumberFormat="1" applyFont="1" applyAlignment="1">
      <alignment horizontal="left"/>
    </xf>
    <xf numFmtId="0" fontId="0" fillId="0" borderId="0" xfId="0" applyFont="1" applyBorder="1" applyAlignment="1">
      <alignment horizontal="left" vertical="center"/>
    </xf>
    <xf numFmtId="167" fontId="5" fillId="0" borderId="0" xfId="0" applyNumberFormat="1" applyFont="1" applyBorder="1" applyAlignment="1">
      <alignment horizontal="right" vertical="center"/>
    </xf>
    <xf numFmtId="168" fontId="5" fillId="0" borderId="0" xfId="0" applyNumberFormat="1" applyFont="1" applyBorder="1"/>
    <xf numFmtId="168" fontId="0" fillId="0" borderId="0" xfId="2" applyNumberFormat="1" applyFont="1"/>
    <xf numFmtId="164" fontId="5" fillId="0" borderId="0" xfId="1" applyNumberFormat="1" applyFont="1"/>
    <xf numFmtId="0" fontId="2" fillId="5" borderId="2" xfId="0" applyFont="1" applyFill="1" applyBorder="1" applyAlignment="1">
      <alignment horizontal="centerContinuous" vertical="center"/>
    </xf>
    <xf numFmtId="0" fontId="4" fillId="5" borderId="3" xfId="0" applyFont="1" applyFill="1" applyBorder="1" applyAlignment="1">
      <alignment horizontal="centerContinuous"/>
    </xf>
    <xf numFmtId="0" fontId="4" fillId="5" borderId="4" xfId="0" applyFont="1" applyFill="1" applyBorder="1" applyAlignment="1">
      <alignment horizontal="centerContinuous"/>
    </xf>
    <xf numFmtId="0" fontId="2" fillId="4" borderId="3" xfId="0" applyFont="1" applyFill="1" applyBorder="1" applyAlignment="1">
      <alignment horizontal="center"/>
    </xf>
    <xf numFmtId="0" fontId="3" fillId="2" borderId="3" xfId="0" applyFont="1" applyFill="1" applyBorder="1"/>
    <xf numFmtId="164" fontId="3" fillId="2" borderId="3" xfId="0" applyNumberFormat="1" applyFont="1" applyFill="1" applyBorder="1"/>
    <xf numFmtId="0" fontId="0" fillId="2" borderId="3" xfId="0" applyFont="1" applyFill="1" applyBorder="1"/>
    <xf numFmtId="0" fontId="2" fillId="4" borderId="4" xfId="0" applyFont="1" applyFill="1" applyBorder="1" applyAlignment="1">
      <alignment horizontal="center"/>
    </xf>
    <xf numFmtId="0" fontId="3" fillId="2" borderId="2" xfId="0" applyFont="1" applyFill="1" applyBorder="1"/>
    <xf numFmtId="0" fontId="0" fillId="2" borderId="4" xfId="0" applyFont="1" applyFill="1" applyBorder="1"/>
    <xf numFmtId="0" fontId="2" fillId="4" borderId="5" xfId="0" applyFont="1" applyFill="1" applyBorder="1" applyAlignment="1">
      <alignment horizontal="center"/>
    </xf>
    <xf numFmtId="0" fontId="2" fillId="4" borderId="6" xfId="0" applyFont="1" applyFill="1" applyBorder="1" applyAlignment="1">
      <alignment horizontal="center"/>
    </xf>
    <xf numFmtId="0" fontId="2" fillId="4" borderId="7" xfId="0" applyFont="1" applyFill="1" applyBorder="1" applyAlignment="1">
      <alignment horizontal="center"/>
    </xf>
    <xf numFmtId="164" fontId="3" fillId="2" borderId="2" xfId="0" applyNumberFormat="1" applyFont="1" applyFill="1" applyBorder="1"/>
    <xf numFmtId="0" fontId="2" fillId="3" borderId="2" xfId="0" applyFont="1" applyFill="1" applyBorder="1" applyAlignment="1">
      <alignment horizontal="centerContinuous" vertical="center"/>
    </xf>
    <xf numFmtId="0" fontId="4" fillId="3" borderId="3" xfId="0" applyFont="1" applyFill="1" applyBorder="1" applyAlignment="1">
      <alignment horizontal="centerContinuous"/>
    </xf>
    <xf numFmtId="0" fontId="4" fillId="3" borderId="4" xfId="0" applyFont="1" applyFill="1" applyBorder="1" applyAlignment="1">
      <alignment horizontal="centerContinuous"/>
    </xf>
    <xf numFmtId="0" fontId="2" fillId="6" borderId="2" xfId="0" applyFont="1" applyFill="1" applyBorder="1" applyAlignment="1">
      <alignment horizontal="center"/>
    </xf>
    <xf numFmtId="0" fontId="2" fillId="6" borderId="3" xfId="0" applyFont="1" applyFill="1" applyBorder="1" applyAlignment="1">
      <alignment horizontal="center"/>
    </xf>
    <xf numFmtId="0" fontId="2" fillId="6" borderId="4" xfId="0" applyFont="1" applyFill="1" applyBorder="1" applyAlignment="1">
      <alignment horizontal="center"/>
    </xf>
    <xf numFmtId="164" fontId="5" fillId="0" borderId="0" xfId="1" applyNumberFormat="1" applyFont="1" applyBorder="1" applyAlignment="1">
      <alignment horizontal="left"/>
    </xf>
    <xf numFmtId="0" fontId="5" fillId="0" borderId="0" xfId="0" applyFont="1" applyAlignment="1">
      <alignment horizontal="center"/>
    </xf>
    <xf numFmtId="165" fontId="0" fillId="0" borderId="0" xfId="1" applyNumberFormat="1" applyFont="1"/>
    <xf numFmtId="164" fontId="8" fillId="0" borderId="0" xfId="1" applyNumberFormat="1" applyFont="1" applyBorder="1" applyAlignment="1">
      <alignment horizontal="center"/>
    </xf>
    <xf numFmtId="0" fontId="3" fillId="0" borderId="0" xfId="0" applyFont="1"/>
    <xf numFmtId="9" fontId="0" fillId="0" borderId="0" xfId="2" applyFont="1"/>
    <xf numFmtId="171" fontId="2" fillId="5" borderId="5" xfId="0" applyNumberFormat="1" applyFont="1" applyFill="1" applyBorder="1" applyAlignment="1">
      <alignment horizontal="centerContinuous"/>
    </xf>
    <xf numFmtId="171" fontId="4" fillId="5" borderId="6" xfId="0" applyNumberFormat="1" applyFont="1" applyFill="1" applyBorder="1" applyAlignment="1">
      <alignment horizontal="centerContinuous"/>
    </xf>
    <xf numFmtId="171" fontId="4" fillId="5" borderId="7" xfId="0" applyNumberFormat="1" applyFont="1" applyFill="1" applyBorder="1" applyAlignment="1">
      <alignment horizontal="centerContinuous"/>
    </xf>
    <xf numFmtId="0" fontId="0" fillId="0" borderId="5" xfId="0" applyFont="1" applyBorder="1"/>
    <xf numFmtId="164" fontId="0" fillId="0" borderId="7" xfId="0" applyNumberFormat="1" applyFont="1" applyBorder="1"/>
    <xf numFmtId="0" fontId="0" fillId="0" borderId="8" xfId="0" applyFont="1" applyFill="1" applyBorder="1"/>
    <xf numFmtId="0" fontId="0" fillId="0" borderId="8" xfId="0" applyFont="1" applyBorder="1"/>
    <xf numFmtId="164" fontId="0" fillId="0" borderId="9" xfId="0" applyNumberFormat="1" applyFont="1" applyBorder="1"/>
    <xf numFmtId="9" fontId="0" fillId="0" borderId="9" xfId="2" applyFont="1" applyBorder="1"/>
    <xf numFmtId="0" fontId="0" fillId="0" borderId="9" xfId="0" applyFont="1" applyBorder="1"/>
    <xf numFmtId="0" fontId="0" fillId="0" borderId="10" xfId="0" applyFont="1" applyBorder="1"/>
    <xf numFmtId="0" fontId="0" fillId="5" borderId="1" xfId="0" applyFont="1" applyFill="1" applyBorder="1"/>
    <xf numFmtId="0" fontId="2" fillId="4" borderId="1" xfId="0" applyFont="1" applyFill="1" applyBorder="1"/>
    <xf numFmtId="0" fontId="3" fillId="2" borderId="1" xfId="0" applyFont="1" applyFill="1" applyBorder="1"/>
    <xf numFmtId="0" fontId="2" fillId="5" borderId="11" xfId="0" applyFont="1" applyFill="1" applyBorder="1" applyAlignment="1">
      <alignment horizontal="centerContinuous" vertical="center"/>
    </xf>
    <xf numFmtId="0" fontId="2" fillId="5" borderId="4" xfId="0" applyFont="1" applyFill="1" applyBorder="1" applyAlignment="1">
      <alignment horizontal="centerContinuous" vertical="center"/>
    </xf>
    <xf numFmtId="0" fontId="2" fillId="4" borderId="2" xfId="0" applyFont="1" applyFill="1" applyBorder="1" applyAlignment="1"/>
    <xf numFmtId="0" fontId="2" fillId="4" borderId="3" xfId="0" applyFont="1" applyFill="1" applyBorder="1" applyAlignment="1">
      <alignment horizontal="centerContinuous"/>
    </xf>
    <xf numFmtId="0" fontId="2" fillId="4" borderId="4" xfId="0" applyFont="1" applyFill="1" applyBorder="1" applyAlignment="1">
      <alignment horizontal="centerContinuous"/>
    </xf>
    <xf numFmtId="164" fontId="3" fillId="2" borderId="3" xfId="0" applyNumberFormat="1" applyFont="1" applyFill="1" applyBorder="1" applyAlignment="1">
      <alignment horizontal="center"/>
    </xf>
    <xf numFmtId="165" fontId="3" fillId="2" borderId="4" xfId="0" applyNumberFormat="1" applyFont="1" applyFill="1" applyBorder="1" applyAlignment="1">
      <alignment horizontal="right"/>
    </xf>
    <xf numFmtId="0" fontId="2" fillId="5" borderId="3" xfId="0" applyFont="1" applyFill="1" applyBorder="1" applyAlignment="1">
      <alignment horizontal="centerContinuous"/>
    </xf>
    <xf numFmtId="0" fontId="2" fillId="5" borderId="4" xfId="0" applyFont="1" applyFill="1" applyBorder="1" applyAlignment="1">
      <alignment horizontal="centerContinuous"/>
    </xf>
    <xf numFmtId="0" fontId="0" fillId="2" borderId="2" xfId="0" applyFont="1" applyFill="1" applyBorder="1"/>
    <xf numFmtId="0" fontId="0" fillId="2" borderId="3" xfId="0" applyFont="1" applyFill="1" applyBorder="1" applyAlignment="1">
      <alignment horizontal="center" vertical="center" wrapText="1"/>
    </xf>
    <xf numFmtId="0" fontId="0" fillId="2" borderId="4" xfId="0" applyFont="1" applyFill="1" applyBorder="1" applyAlignment="1">
      <alignment horizontal="center" vertical="center" wrapText="1"/>
    </xf>
    <xf numFmtId="0" fontId="5" fillId="0" borderId="9" xfId="0" applyFont="1" applyBorder="1" applyAlignment="1">
      <alignment horizontal="right"/>
    </xf>
    <xf numFmtId="164" fontId="5" fillId="0" borderId="9" xfId="1" applyNumberFormat="1" applyFont="1" applyBorder="1" applyAlignment="1">
      <alignment horizontal="left"/>
    </xf>
    <xf numFmtId="0" fontId="5" fillId="0" borderId="9" xfId="0" applyFont="1" applyBorder="1"/>
    <xf numFmtId="168" fontId="5" fillId="0" borderId="9" xfId="0" applyNumberFormat="1" applyFont="1" applyBorder="1"/>
    <xf numFmtId="169" fontId="5" fillId="0" borderId="9" xfId="0" applyNumberFormat="1" applyFont="1" applyBorder="1"/>
    <xf numFmtId="168" fontId="5" fillId="0" borderId="9" xfId="0" applyNumberFormat="1" applyFont="1" applyFill="1" applyBorder="1"/>
    <xf numFmtId="167" fontId="5" fillId="0" borderId="9" xfId="0" applyNumberFormat="1" applyFont="1" applyBorder="1" applyAlignment="1">
      <alignment horizontal="right" vertical="center"/>
    </xf>
    <xf numFmtId="171" fontId="8" fillId="0" borderId="8" xfId="0" applyNumberFormat="1" applyFont="1" applyBorder="1" applyAlignment="1">
      <alignment horizontal="left" vertical="center"/>
    </xf>
    <xf numFmtId="171" fontId="8" fillId="0" borderId="8" xfId="0" applyNumberFormat="1" applyFont="1" applyBorder="1" applyAlignment="1">
      <alignment horizontal="left"/>
    </xf>
    <xf numFmtId="171" fontId="8" fillId="0" borderId="8" xfId="0" applyNumberFormat="1" applyFont="1" applyFill="1" applyBorder="1" applyAlignment="1">
      <alignment horizontal="left" vertical="center"/>
    </xf>
    <xf numFmtId="0" fontId="2" fillId="4" borderId="2" xfId="0" applyFont="1" applyFill="1" applyBorder="1" applyAlignment="1">
      <alignment horizontal="centerContinuous"/>
    </xf>
    <xf numFmtId="0" fontId="4" fillId="0" borderId="0" xfId="0" applyFont="1" applyAlignment="1">
      <alignment horizontal="center"/>
    </xf>
    <xf numFmtId="169" fontId="9" fillId="0" borderId="0" xfId="2" applyNumberFormat="1" applyFont="1"/>
    <xf numFmtId="164" fontId="9" fillId="0" borderId="0" xfId="1" applyNumberFormat="1" applyFont="1"/>
    <xf numFmtId="168" fontId="9" fillId="0" borderId="0" xfId="2" applyNumberFormat="1" applyFont="1"/>
    <xf numFmtId="164" fontId="0" fillId="0" borderId="0" xfId="0" applyNumberFormat="1"/>
    <xf numFmtId="0" fontId="8" fillId="0" borderId="0" xfId="0" applyFont="1"/>
    <xf numFmtId="0" fontId="0" fillId="0" borderId="0" xfId="0" applyAlignment="1">
      <alignment horizontal="left" indent="1"/>
    </xf>
    <xf numFmtId="164" fontId="9" fillId="0" borderId="0" xfId="0" applyNumberFormat="1" applyFont="1"/>
    <xf numFmtId="164" fontId="1" fillId="0" borderId="0" xfId="1" applyNumberFormat="1" applyFont="1"/>
    <xf numFmtId="14" fontId="2" fillId="4" borderId="1" xfId="0" applyNumberFormat="1" applyFont="1" applyFill="1" applyBorder="1" applyAlignment="1">
      <alignment horizontal="center"/>
    </xf>
    <xf numFmtId="170" fontId="9" fillId="0" borderId="9" xfId="0" applyNumberFormat="1" applyFont="1" applyBorder="1"/>
    <xf numFmtId="0" fontId="0" fillId="0" borderId="0" xfId="0" applyFont="1" applyFill="1" applyBorder="1"/>
    <xf numFmtId="0" fontId="10" fillId="0" borderId="12" xfId="0" applyFont="1" applyBorder="1"/>
    <xf numFmtId="0" fontId="0" fillId="0" borderId="12" xfId="0" applyFont="1" applyBorder="1"/>
    <xf numFmtId="0" fontId="0" fillId="0" borderId="0" xfId="0" applyFont="1" applyAlignment="1">
      <alignment horizontal="left" vertical="top"/>
    </xf>
    <xf numFmtId="172" fontId="0" fillId="0" borderId="0" xfId="0" applyNumberFormat="1" applyFont="1"/>
    <xf numFmtId="0" fontId="0" fillId="0" borderId="0" xfId="0" applyFont="1" applyAlignment="1">
      <alignment vertical="top" wrapText="1"/>
    </xf>
    <xf numFmtId="0" fontId="0" fillId="0" borderId="0" xfId="0" applyFont="1" applyAlignment="1">
      <alignment horizontal="left" indent="2"/>
    </xf>
    <xf numFmtId="0" fontId="12" fillId="0" borderId="0" xfId="0" applyFont="1" applyAlignment="1">
      <alignment horizontal="left" indent="2"/>
    </xf>
    <xf numFmtId="0" fontId="5" fillId="0" borderId="9" xfId="0" applyFont="1" applyBorder="1" applyAlignment="1">
      <alignment horizontal="center"/>
    </xf>
    <xf numFmtId="0" fontId="3" fillId="0" borderId="0" xfId="0" applyFont="1" applyAlignment="1">
      <alignment horizontal="left" vertical="top"/>
    </xf>
    <xf numFmtId="9" fontId="0" fillId="0" borderId="0" xfId="2" applyFont="1" applyAlignment="1">
      <alignment horizontal="right"/>
    </xf>
    <xf numFmtId="173" fontId="0" fillId="0" borderId="0" xfId="0" applyNumberFormat="1" applyFont="1"/>
    <xf numFmtId="14" fontId="0" fillId="0" borderId="0" xfId="0" applyNumberFormat="1" applyFont="1"/>
    <xf numFmtId="174" fontId="5" fillId="0" borderId="9" xfId="0" applyNumberFormat="1" applyFont="1" applyBorder="1"/>
    <xf numFmtId="0" fontId="7" fillId="0" borderId="0" xfId="0" applyFont="1" applyFill="1" applyBorder="1" applyAlignment="1"/>
    <xf numFmtId="0" fontId="2" fillId="5" borderId="3" xfId="0" applyFont="1" applyFill="1" applyBorder="1" applyAlignment="1">
      <alignment horizontal="centerContinuous" vertical="center"/>
    </xf>
    <xf numFmtId="168" fontId="8" fillId="0" borderId="0" xfId="2" applyNumberFormat="1" applyFont="1" applyBorder="1" applyAlignment="1">
      <alignment horizontal="center"/>
    </xf>
    <xf numFmtId="14" fontId="8" fillId="0" borderId="0" xfId="0" applyNumberFormat="1" applyFont="1"/>
    <xf numFmtId="0" fontId="2" fillId="4" borderId="13" xfId="0" applyFont="1" applyFill="1" applyBorder="1" applyAlignment="1">
      <alignment horizontal="center"/>
    </xf>
    <xf numFmtId="0" fontId="2" fillId="5" borderId="13" xfId="0" applyFont="1" applyFill="1" applyBorder="1" applyAlignment="1">
      <alignment horizontal="centerContinuous" vertical="center"/>
    </xf>
    <xf numFmtId="0" fontId="0" fillId="0" borderId="6" xfId="0" applyFont="1" applyBorder="1"/>
    <xf numFmtId="168" fontId="9" fillId="0" borderId="9" xfId="2" applyNumberFormat="1" applyFont="1" applyBorder="1"/>
    <xf numFmtId="0" fontId="2" fillId="3" borderId="3" xfId="0" applyFont="1" applyFill="1" applyBorder="1" applyAlignment="1">
      <alignment horizontal="centerContinuous" vertical="center"/>
    </xf>
    <xf numFmtId="175" fontId="0" fillId="0" borderId="0" xfId="0" applyNumberFormat="1" applyFont="1"/>
    <xf numFmtId="165" fontId="0" fillId="0" borderId="9" xfId="0" applyNumberFormat="1" applyFont="1" applyBorder="1"/>
    <xf numFmtId="165" fontId="9" fillId="0" borderId="9" xfId="0" applyNumberFormat="1" applyFont="1" applyBorder="1"/>
    <xf numFmtId="176" fontId="0" fillId="0" borderId="0" xfId="1" applyNumberFormat="1" applyFont="1" applyAlignment="1">
      <alignment horizontal="center"/>
    </xf>
    <xf numFmtId="174" fontId="5" fillId="0" borderId="0" xfId="0" applyNumberFormat="1" applyFont="1" applyBorder="1"/>
    <xf numFmtId="0" fontId="0" fillId="0" borderId="0" xfId="0"/>
    <xf numFmtId="0" fontId="0" fillId="0" borderId="0" xfId="0" applyFont="1" applyBorder="1"/>
    <xf numFmtId="0" fontId="0" fillId="0" borderId="8" xfId="0" applyFont="1" applyBorder="1"/>
    <xf numFmtId="0" fontId="2" fillId="4" borderId="3" xfId="0" applyFont="1" applyFill="1" applyBorder="1" applyAlignment="1">
      <alignment horizontal="centerContinuous"/>
    </xf>
    <xf numFmtId="0" fontId="2" fillId="4" borderId="4" xfId="0" applyFont="1" applyFill="1" applyBorder="1" applyAlignment="1">
      <alignment horizontal="centerContinuous"/>
    </xf>
    <xf numFmtId="164" fontId="5" fillId="0" borderId="9" xfId="1" applyNumberFormat="1" applyFont="1" applyBorder="1" applyAlignment="1">
      <alignment horizontal="left"/>
    </xf>
    <xf numFmtId="0" fontId="5" fillId="0" borderId="9" xfId="0" applyFont="1" applyBorder="1"/>
    <xf numFmtId="0" fontId="2" fillId="4" borderId="2" xfId="0" applyFont="1" applyFill="1" applyBorder="1" applyAlignment="1">
      <alignment horizontal="centerContinuous"/>
    </xf>
    <xf numFmtId="14" fontId="5" fillId="0" borderId="9" xfId="0" applyNumberFormat="1" applyFont="1" applyBorder="1" applyAlignment="1">
      <alignment horizontal="right"/>
    </xf>
    <xf numFmtId="9" fontId="5" fillId="0" borderId="9" xfId="2" applyFont="1" applyBorder="1"/>
    <xf numFmtId="0" fontId="2" fillId="4" borderId="2" xfId="0" applyFont="1" applyFill="1" applyBorder="1" applyAlignment="1">
      <alignment horizontal="centerContinuous"/>
    </xf>
    <xf numFmtId="0" fontId="0" fillId="0" borderId="8" xfId="0" applyFont="1" applyBorder="1"/>
    <xf numFmtId="0" fontId="0" fillId="0" borderId="8" xfId="0" applyFont="1" applyBorder="1"/>
    <xf numFmtId="0" fontId="0" fillId="0" borderId="8" xfId="0" applyFont="1" applyFill="1" applyBorder="1"/>
    <xf numFmtId="0" fontId="0" fillId="0" borderId="0" xfId="0"/>
    <xf numFmtId="0" fontId="0" fillId="0" borderId="0" xfId="0" applyFont="1" applyBorder="1"/>
    <xf numFmtId="168" fontId="5" fillId="0" borderId="0" xfId="0" applyNumberFormat="1" applyFont="1" applyBorder="1"/>
    <xf numFmtId="0" fontId="0" fillId="0" borderId="8" xfId="0" applyFont="1" applyFill="1" applyBorder="1"/>
    <xf numFmtId="0" fontId="0" fillId="0" borderId="8" xfId="0" applyFont="1" applyBorder="1"/>
    <xf numFmtId="165" fontId="8" fillId="0" borderId="0" xfId="0" applyNumberFormat="1" applyFont="1" applyBorder="1" applyAlignment="1">
      <alignment horizontal="right"/>
    </xf>
    <xf numFmtId="168" fontId="0" fillId="0" borderId="0" xfId="0" applyNumberFormat="1" applyFont="1" applyBorder="1" applyAlignment="1">
      <alignment horizontal="right"/>
    </xf>
    <xf numFmtId="0" fontId="0" fillId="0" borderId="0" xfId="0"/>
    <xf numFmtId="167" fontId="5" fillId="0" borderId="0" xfId="0" applyNumberFormat="1" applyFont="1" applyBorder="1" applyAlignment="1">
      <alignment horizontal="right" vertical="center"/>
    </xf>
    <xf numFmtId="0" fontId="0" fillId="0" borderId="8" xfId="0" applyFont="1" applyBorder="1" applyAlignment="1">
      <alignment horizontal="left" vertical="center"/>
    </xf>
    <xf numFmtId="0" fontId="0" fillId="0" borderId="0" xfId="0"/>
    <xf numFmtId="164" fontId="0" fillId="0" borderId="0" xfId="1" applyNumberFormat="1" applyFont="1"/>
    <xf numFmtId="0" fontId="0" fillId="2" borderId="3" xfId="0" applyFont="1" applyFill="1" applyBorder="1"/>
    <xf numFmtId="0" fontId="5" fillId="0" borderId="0" xfId="0" applyFont="1" applyAlignment="1">
      <alignment horizontal="center"/>
    </xf>
    <xf numFmtId="0" fontId="0" fillId="0" borderId="8" xfId="0" applyFont="1" applyFill="1" applyBorder="1"/>
    <xf numFmtId="0" fontId="2" fillId="4" borderId="3" xfId="0" applyFont="1" applyFill="1" applyBorder="1" applyAlignment="1">
      <alignment horizontal="centerContinuous"/>
    </xf>
    <xf numFmtId="0" fontId="2" fillId="4" borderId="4" xfId="0" applyFont="1" applyFill="1" applyBorder="1" applyAlignment="1">
      <alignment horizontal="centerContinuous"/>
    </xf>
    <xf numFmtId="0" fontId="0" fillId="2" borderId="2" xfId="0" applyFont="1" applyFill="1" applyBorder="1"/>
    <xf numFmtId="0" fontId="0" fillId="2" borderId="3" xfId="0" applyFont="1" applyFill="1" applyBorder="1" applyAlignment="1">
      <alignment horizontal="center" vertical="center" wrapText="1"/>
    </xf>
    <xf numFmtId="0" fontId="0" fillId="2" borderId="4" xfId="0" applyFont="1" applyFill="1" applyBorder="1" applyAlignment="1">
      <alignment horizontal="center" vertical="center" wrapText="1"/>
    </xf>
    <xf numFmtId="0" fontId="2" fillId="4" borderId="2" xfId="0" applyFont="1" applyFill="1" applyBorder="1" applyAlignment="1">
      <alignment horizontal="centerContinuous"/>
    </xf>
    <xf numFmtId="0" fontId="4" fillId="0" borderId="0" xfId="0" applyFont="1" applyAlignment="1">
      <alignment horizontal="center"/>
    </xf>
    <xf numFmtId="169" fontId="9" fillId="0" borderId="0" xfId="2" applyNumberFormat="1" applyFont="1"/>
    <xf numFmtId="164" fontId="9" fillId="0" borderId="0" xfId="1" applyNumberFormat="1" applyFont="1"/>
    <xf numFmtId="168" fontId="9" fillId="0" borderId="0" xfId="2" applyNumberFormat="1" applyFont="1"/>
    <xf numFmtId="164" fontId="0" fillId="0" borderId="0" xfId="0" applyNumberFormat="1"/>
    <xf numFmtId="0" fontId="8" fillId="0" borderId="0" xfId="0" applyFont="1"/>
    <xf numFmtId="164" fontId="9" fillId="0" borderId="0" xfId="0" applyNumberFormat="1" applyFont="1"/>
    <xf numFmtId="164" fontId="1" fillId="0" borderId="0" xfId="1" applyNumberFormat="1" applyFont="1"/>
    <xf numFmtId="14" fontId="2" fillId="4" borderId="1" xfId="0" applyNumberFormat="1" applyFont="1" applyFill="1" applyBorder="1" applyAlignment="1">
      <alignment horizontal="center"/>
    </xf>
    <xf numFmtId="9" fontId="0" fillId="0" borderId="0" xfId="2" applyFont="1" applyAlignment="1">
      <alignment horizontal="right"/>
    </xf>
    <xf numFmtId="177" fontId="0" fillId="0" borderId="0" xfId="0" applyNumberFormat="1" applyFont="1"/>
    <xf numFmtId="178" fontId="0" fillId="0" borderId="0" xfId="1" applyNumberFormat="1" applyFont="1"/>
    <xf numFmtId="171" fontId="4" fillId="0" borderId="0" xfId="0" applyNumberFormat="1" applyFont="1" applyAlignment="1">
      <alignment horizontal="center"/>
    </xf>
    <xf numFmtId="168" fontId="8" fillId="0" borderId="0" xfId="2" applyNumberFormat="1" applyFont="1" applyBorder="1" applyAlignment="1">
      <alignment horizontal="right" vertical="center"/>
    </xf>
    <xf numFmtId="171" fontId="2" fillId="5" borderId="7" xfId="0" applyNumberFormat="1" applyFont="1" applyFill="1" applyBorder="1" applyAlignment="1">
      <alignment horizontal="centerContinuous"/>
    </xf>
    <xf numFmtId="0" fontId="11" fillId="0" borderId="0" xfId="0" applyFont="1"/>
    <xf numFmtId="168" fontId="3" fillId="0" borderId="0" xfId="0" applyNumberFormat="1" applyFont="1"/>
    <xf numFmtId="171" fontId="8" fillId="0" borderId="14" xfId="0" applyNumberFormat="1" applyFont="1" applyBorder="1" applyAlignment="1">
      <alignment horizontal="left"/>
    </xf>
    <xf numFmtId="168" fontId="8" fillId="0" borderId="15" xfId="2" applyNumberFormat="1" applyFont="1" applyBorder="1" applyAlignment="1">
      <alignment horizontal="right" vertical="center"/>
    </xf>
    <xf numFmtId="176" fontId="5" fillId="0" borderId="0" xfId="1" applyNumberFormat="1" applyFont="1" applyAlignment="1">
      <alignment horizontal="center"/>
    </xf>
    <xf numFmtId="0" fontId="11" fillId="7" borderId="0" xfId="0" applyFont="1" applyFill="1" applyAlignment="1">
      <alignment horizontal="left" vertical="center" wrapText="1"/>
    </xf>
    <xf numFmtId="0" fontId="0" fillId="0" borderId="0" xfId="0" applyFont="1" applyAlignment="1">
      <alignment horizontal="left" vertical="top" wrapText="1"/>
    </xf>
    <xf numFmtId="0" fontId="0" fillId="0" borderId="0" xfId="0" applyFill="1" applyBorder="1"/>
    <xf numFmtId="164" fontId="8" fillId="0" borderId="0" xfId="1" applyNumberFormat="1" applyFont="1"/>
  </cellXfs>
  <cellStyles count="3">
    <cellStyle name="Currency" xfId="1" builtinId="4"/>
    <cellStyle name="Normal" xfId="0" builtinId="0"/>
    <cellStyle name="Percent" xfId="2" builtinId="5"/>
  </cellStyles>
  <dxfs count="1">
    <dxf>
      <font>
        <color rgb="FFFF0000"/>
      </font>
    </dxf>
  </dxfs>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eetMetadata" Target="metadata.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microsoft.com/office/2006/relationships/vbaProject" Target="vbaProject.bin"/></Relationships>
</file>

<file path=xl/ctrlProps/ctrlProp1.xml><?xml version="1.0" encoding="utf-8"?>
<formControlPr xmlns="http://schemas.microsoft.com/office/spreadsheetml/2009/9/main" objectType="Button" lockText="1"/>
</file>

<file path=xl/drawings/drawing1.xml><?xml version="1.0" encoding="utf-8"?>
<xdr:wsDr xmlns:xdr="http://schemas.openxmlformats.org/drawingml/2006/spreadsheetDrawing" xmlns:a="http://schemas.openxmlformats.org/drawingml/2006/main">
  <xdr:oneCellAnchor>
    <xdr:from>
      <xdr:col>0</xdr:col>
      <xdr:colOff>23210</xdr:colOff>
      <xdr:row>17</xdr:row>
      <xdr:rowOff>67539</xdr:rowOff>
    </xdr:from>
    <xdr:ext cx="11508779" cy="1065613"/>
    <xdr:sp macro="" textlink="">
      <xdr:nvSpPr>
        <xdr:cNvPr id="2" name="Rectangle 1" descr="2b5c79d3-2f91-4817-b82e-ad3cf939d933">
          <a:extLst>
            <a:ext uri="{FF2B5EF4-FFF2-40B4-BE49-F238E27FC236}">
              <a16:creationId xmlns:a16="http://schemas.microsoft.com/office/drawing/2014/main" id="{00000000-0008-0000-0000-000002000000}"/>
            </a:ext>
          </a:extLst>
        </xdr:cNvPr>
        <xdr:cNvSpPr/>
      </xdr:nvSpPr>
      <xdr:spPr>
        <a:xfrm rot="20721625">
          <a:off x="23210" y="3134589"/>
          <a:ext cx="11508779" cy="1065613"/>
        </a:xfrm>
        <a:prstGeom prst="rect">
          <a:avLst/>
        </a:prstGeom>
        <a:noFill/>
      </xdr:spPr>
      <xdr:txBody>
        <a:bodyPr wrap="square" lIns="91440" tIns="45720" rIns="91440" bIns="45720">
          <a:spAutoFit/>
        </a:bodyPr>
        <a:lstStyle/>
        <a:p>
          <a:pPr algn="ctr"/>
          <a:r>
            <a:rPr lang="en-US" sz="6600" b="1" cap="none" spc="50">
              <a:ln w="0"/>
              <a:solidFill>
                <a:schemeClr val="bg1">
                  <a:lumMod val="65000"/>
                  <a:alpha val="20000"/>
                </a:schemeClr>
              </a:solidFill>
              <a:effectLst>
                <a:innerShdw blurRad="63500" dist="50800" dir="13500000">
                  <a:srgbClr val="000000">
                    <a:alpha val="50000"/>
                  </a:srgbClr>
                </a:innerShdw>
              </a:effectLst>
              <a:latin typeface="Arial" panose="020B0604020202020204" pitchFamily="34" charset="0"/>
              <a:cs typeface="Arial" panose="020B0604020202020204" pitchFamily="34" charset="0"/>
            </a:rPr>
            <a:t>SVB Capital Template</a:t>
          </a:r>
        </a:p>
      </xdr:txBody>
    </xdr:sp>
    <xdr:clientData/>
  </xdr:one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904875</xdr:colOff>
          <xdr:row>5</xdr:row>
          <xdr:rowOff>57150</xdr:rowOff>
        </xdr:from>
        <xdr:to>
          <xdr:col>5</xdr:col>
          <xdr:colOff>9525</xdr:colOff>
          <xdr:row>6</xdr:row>
          <xdr:rowOff>104775</xdr:rowOff>
        </xdr:to>
        <xdr:sp macro="" textlink="">
          <xdr:nvSpPr>
            <xdr:cNvPr id="2057" name="Button 9" hidden="1">
              <a:extLst>
                <a:ext uri="{63B3BB69-23CF-44E3-9099-C40C66FF867C}">
                  <a14:compatExt spid="_x0000_s2057"/>
                </a:ext>
                <a:ext uri="{FF2B5EF4-FFF2-40B4-BE49-F238E27FC236}">
                  <a16:creationId xmlns:a16="http://schemas.microsoft.com/office/drawing/2014/main" id="{00000000-0008-0000-0100-00000908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Copy to Custom</a:t>
              </a:r>
            </a:p>
          </xdr:txBody>
        </xdr:sp>
        <xdr:clientData fPrintsWithSheet="0"/>
      </xdr:twoCellAnchor>
    </mc:Choice>
    <mc:Fallback/>
  </mc:AlternateContent>
  <xdr:oneCellAnchor>
    <xdr:from>
      <xdr:col>0</xdr:col>
      <xdr:colOff>0</xdr:colOff>
      <xdr:row>16</xdr:row>
      <xdr:rowOff>66676</xdr:rowOff>
    </xdr:from>
    <xdr:ext cx="11508779" cy="1065613"/>
    <xdr:sp macro="" textlink="">
      <xdr:nvSpPr>
        <xdr:cNvPr id="3" name="Rectangle 2" descr="2b5c79d3-2f91-4817-b82e-ad3cf939d933">
          <a:extLst>
            <a:ext uri="{FF2B5EF4-FFF2-40B4-BE49-F238E27FC236}">
              <a16:creationId xmlns:a16="http://schemas.microsoft.com/office/drawing/2014/main" id="{00000000-0008-0000-0100-000003000000}"/>
            </a:ext>
          </a:extLst>
        </xdr:cNvPr>
        <xdr:cNvSpPr/>
      </xdr:nvSpPr>
      <xdr:spPr>
        <a:xfrm rot="20721625">
          <a:off x="0" y="3286126"/>
          <a:ext cx="11508779" cy="1065613"/>
        </a:xfrm>
        <a:prstGeom prst="rect">
          <a:avLst/>
        </a:prstGeom>
        <a:noFill/>
      </xdr:spPr>
      <xdr:txBody>
        <a:bodyPr wrap="square" lIns="91440" tIns="45720" rIns="91440" bIns="45720">
          <a:spAutoFit/>
        </a:bodyPr>
        <a:lstStyle/>
        <a:p>
          <a:pPr algn="ctr"/>
          <a:r>
            <a:rPr lang="en-US" sz="6600" b="1" cap="none" spc="50">
              <a:ln w="0"/>
              <a:solidFill>
                <a:schemeClr val="bg1">
                  <a:lumMod val="65000"/>
                  <a:alpha val="20000"/>
                </a:schemeClr>
              </a:solidFill>
              <a:effectLst>
                <a:innerShdw blurRad="63500" dist="50800" dir="13500000">
                  <a:srgbClr val="000000">
                    <a:alpha val="50000"/>
                  </a:srgbClr>
                </a:innerShdw>
              </a:effectLst>
              <a:latin typeface="Arial" panose="020B0604020202020204" pitchFamily="34" charset="0"/>
              <a:cs typeface="Arial" panose="020B0604020202020204" pitchFamily="34" charset="0"/>
            </a:rPr>
            <a:t>SVB Capital Template</a:t>
          </a:r>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0</xdr:col>
      <xdr:colOff>0</xdr:colOff>
      <xdr:row>21</xdr:row>
      <xdr:rowOff>66676</xdr:rowOff>
    </xdr:from>
    <xdr:ext cx="11508779" cy="1065613"/>
    <xdr:sp macro="" textlink="">
      <xdr:nvSpPr>
        <xdr:cNvPr id="2" name="Rectangle 1" descr="2b5c79d3-2f91-4817-b82e-ad3cf939d933">
          <a:extLst>
            <a:ext uri="{FF2B5EF4-FFF2-40B4-BE49-F238E27FC236}">
              <a16:creationId xmlns:a16="http://schemas.microsoft.com/office/drawing/2014/main" id="{00000000-0008-0000-0200-000002000000}"/>
            </a:ext>
          </a:extLst>
        </xdr:cNvPr>
        <xdr:cNvSpPr/>
      </xdr:nvSpPr>
      <xdr:spPr>
        <a:xfrm rot="20721625">
          <a:off x="0" y="3114676"/>
          <a:ext cx="11508779" cy="1065613"/>
        </a:xfrm>
        <a:prstGeom prst="rect">
          <a:avLst/>
        </a:prstGeom>
        <a:noFill/>
      </xdr:spPr>
      <xdr:txBody>
        <a:bodyPr wrap="square" lIns="91440" tIns="45720" rIns="91440" bIns="45720">
          <a:spAutoFit/>
        </a:bodyPr>
        <a:lstStyle/>
        <a:p>
          <a:pPr algn="ctr"/>
          <a:r>
            <a:rPr lang="en-US" sz="6600" b="1" cap="none" spc="50">
              <a:ln w="0"/>
              <a:solidFill>
                <a:schemeClr val="bg1">
                  <a:lumMod val="65000"/>
                  <a:alpha val="20000"/>
                </a:schemeClr>
              </a:solidFill>
              <a:effectLst>
                <a:innerShdw blurRad="63500" dist="50800" dir="13500000">
                  <a:srgbClr val="000000">
                    <a:alpha val="50000"/>
                  </a:srgbClr>
                </a:innerShdw>
              </a:effectLst>
              <a:latin typeface="Arial" panose="020B0604020202020204" pitchFamily="34" charset="0"/>
              <a:cs typeface="Arial" panose="020B0604020202020204" pitchFamily="34" charset="0"/>
            </a:rPr>
            <a:t>SVB Capital Template</a:t>
          </a:r>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customProperty" Target="../customProperty1.bin"/><Relationship Id="rId1" Type="http://schemas.openxmlformats.org/officeDocument/2006/relationships/printerSettings" Target="../printerSettings/printerSettings2.bin"/><Relationship Id="rId5" Type="http://schemas.openxmlformats.org/officeDocument/2006/relationships/ctrlProp" Target="../ctrlProps/ctrlProp1.xml"/><Relationship Id="rId4"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DEAD10-BEEA-4030-A12E-9766FD9B25C4}">
  <sheetPr codeName="Sheet1"/>
  <dimension ref="B2:AF52"/>
  <sheetViews>
    <sheetView showGridLines="0" tabSelected="1" zoomScaleNormal="100" workbookViewId="0"/>
  </sheetViews>
  <sheetFormatPr defaultRowHeight="15" x14ac:dyDescent="0.25"/>
  <cols>
    <col min="1" max="1" width="5.85546875" style="2" customWidth="1"/>
    <col min="2" max="16384" width="9.140625" style="2"/>
  </cols>
  <sheetData>
    <row r="2" spans="2:16" x14ac:dyDescent="0.25">
      <c r="B2" s="36"/>
    </row>
    <row r="3" spans="2:16" ht="15.75" thickBot="1" x14ac:dyDescent="0.3">
      <c r="B3" s="87" t="s">
        <v>51</v>
      </c>
      <c r="C3" s="88"/>
      <c r="D3" s="88"/>
      <c r="E3" s="88"/>
      <c r="F3" s="88"/>
      <c r="G3" s="88"/>
      <c r="H3" s="88"/>
      <c r="I3" s="88"/>
      <c r="J3" s="88"/>
      <c r="K3" s="88"/>
      <c r="L3" s="88"/>
      <c r="M3" s="88"/>
      <c r="N3" s="88"/>
      <c r="O3" s="88"/>
      <c r="P3" s="88"/>
    </row>
    <row r="4" spans="2:16" ht="15.75" thickTop="1" x14ac:dyDescent="0.25"/>
    <row r="5" spans="2:16" x14ac:dyDescent="0.25">
      <c r="B5" s="169" t="s">
        <v>110</v>
      </c>
      <c r="C5" s="169"/>
      <c r="D5" s="169"/>
      <c r="E5" s="169"/>
      <c r="F5" s="169"/>
      <c r="G5" s="169"/>
      <c r="H5" s="169"/>
      <c r="I5" s="169"/>
      <c r="J5" s="169"/>
      <c r="K5" s="169"/>
      <c r="L5" s="169"/>
      <c r="M5" s="169"/>
      <c r="N5" s="169"/>
      <c r="O5" s="169"/>
      <c r="P5" s="169"/>
    </row>
    <row r="6" spans="2:16" x14ac:dyDescent="0.25">
      <c r="B6" s="169"/>
      <c r="C6" s="169"/>
      <c r="D6" s="169"/>
      <c r="E6" s="169"/>
      <c r="F6" s="169"/>
      <c r="G6" s="169"/>
      <c r="H6" s="169"/>
      <c r="I6" s="169"/>
      <c r="J6" s="169"/>
      <c r="K6" s="169"/>
      <c r="L6" s="169"/>
      <c r="M6" s="169"/>
      <c r="N6" s="169"/>
      <c r="O6" s="169"/>
      <c r="P6" s="169"/>
    </row>
    <row r="7" spans="2:16" x14ac:dyDescent="0.25">
      <c r="B7" s="169"/>
      <c r="C7" s="169"/>
      <c r="D7" s="169"/>
      <c r="E7" s="169"/>
      <c r="F7" s="169"/>
      <c r="G7" s="169"/>
      <c r="H7" s="169"/>
      <c r="I7" s="169"/>
      <c r="J7" s="169"/>
      <c r="K7" s="169"/>
      <c r="L7" s="169"/>
      <c r="M7" s="169"/>
      <c r="N7" s="169"/>
      <c r="O7" s="169"/>
      <c r="P7" s="169"/>
    </row>
    <row r="8" spans="2:16" x14ac:dyDescent="0.25">
      <c r="B8" s="169"/>
      <c r="C8" s="169"/>
      <c r="D8" s="169"/>
      <c r="E8" s="169"/>
      <c r="F8" s="169"/>
      <c r="G8" s="169"/>
      <c r="H8" s="169"/>
      <c r="I8" s="169"/>
      <c r="J8" s="169"/>
      <c r="K8" s="169"/>
      <c r="L8" s="169"/>
      <c r="M8" s="169"/>
      <c r="N8" s="169"/>
      <c r="O8" s="169"/>
      <c r="P8" s="169"/>
    </row>
    <row r="9" spans="2:16" x14ac:dyDescent="0.25">
      <c r="B9" s="169"/>
      <c r="C9" s="169"/>
      <c r="D9" s="169"/>
      <c r="E9" s="169"/>
      <c r="F9" s="169"/>
      <c r="G9" s="169"/>
      <c r="H9" s="169"/>
      <c r="I9" s="169"/>
      <c r="J9" s="169"/>
      <c r="K9" s="169"/>
      <c r="L9" s="169"/>
      <c r="M9" s="169"/>
      <c r="N9" s="169"/>
      <c r="O9" s="169"/>
      <c r="P9" s="169"/>
    </row>
    <row r="10" spans="2:16" x14ac:dyDescent="0.25">
      <c r="B10" s="169"/>
      <c r="C10" s="169"/>
      <c r="D10" s="169"/>
      <c r="E10" s="169"/>
      <c r="F10" s="169"/>
      <c r="G10" s="169"/>
      <c r="H10" s="169"/>
      <c r="I10" s="169"/>
      <c r="J10" s="169"/>
      <c r="K10" s="169"/>
      <c r="L10" s="169"/>
      <c r="M10" s="169"/>
      <c r="N10" s="169"/>
      <c r="O10" s="169"/>
      <c r="P10" s="169"/>
    </row>
    <row r="11" spans="2:16" x14ac:dyDescent="0.25">
      <c r="B11" s="169"/>
      <c r="C11" s="169"/>
      <c r="D11" s="169"/>
      <c r="E11" s="169"/>
      <c r="F11" s="169"/>
      <c r="G11" s="169"/>
      <c r="H11" s="169"/>
      <c r="I11" s="169"/>
      <c r="J11" s="169"/>
      <c r="K11" s="169"/>
      <c r="L11" s="169"/>
      <c r="M11" s="169"/>
      <c r="N11" s="169"/>
      <c r="O11" s="169"/>
      <c r="P11" s="169"/>
    </row>
    <row r="13" spans="2:16" x14ac:dyDescent="0.25">
      <c r="B13" s="36" t="s">
        <v>111</v>
      </c>
    </row>
    <row r="14" spans="2:16" x14ac:dyDescent="0.25">
      <c r="B14" s="36" t="s">
        <v>128</v>
      </c>
    </row>
    <row r="15" spans="2:16" x14ac:dyDescent="0.25">
      <c r="B15" s="36" t="s">
        <v>121</v>
      </c>
    </row>
    <row r="16" spans="2:16" x14ac:dyDescent="0.25">
      <c r="B16" s="170" t="s">
        <v>122</v>
      </c>
      <c r="C16" s="170"/>
      <c r="D16" s="170"/>
      <c r="E16" s="170"/>
      <c r="F16" s="170"/>
      <c r="G16" s="170"/>
      <c r="H16" s="170"/>
      <c r="I16" s="170"/>
      <c r="J16" s="170"/>
      <c r="K16" s="170"/>
      <c r="L16" s="170"/>
      <c r="M16" s="170"/>
      <c r="N16" s="170"/>
      <c r="O16" s="170"/>
      <c r="P16" s="170"/>
    </row>
    <row r="17" spans="2:32" x14ac:dyDescent="0.25">
      <c r="B17" s="95" t="s">
        <v>123</v>
      </c>
      <c r="C17" s="89"/>
      <c r="D17" s="89"/>
      <c r="E17" s="89"/>
      <c r="F17" s="89"/>
      <c r="G17" s="89"/>
      <c r="H17" s="89"/>
      <c r="I17" s="89"/>
      <c r="J17" s="89"/>
      <c r="K17" s="89"/>
      <c r="L17" s="89"/>
      <c r="M17" s="89"/>
      <c r="N17" s="89"/>
      <c r="O17" s="89"/>
      <c r="P17" s="89"/>
    </row>
    <row r="18" spans="2:32" x14ac:dyDescent="0.25">
      <c r="B18" s="93" t="s">
        <v>54</v>
      </c>
    </row>
    <row r="19" spans="2:32" x14ac:dyDescent="0.25">
      <c r="B19" s="92" t="s">
        <v>55</v>
      </c>
      <c r="W19" s="90"/>
    </row>
    <row r="20" spans="2:32" x14ac:dyDescent="0.25">
      <c r="B20" s="92" t="s">
        <v>63</v>
      </c>
    </row>
    <row r="21" spans="2:32" x14ac:dyDescent="0.25">
      <c r="B21" s="93" t="s">
        <v>53</v>
      </c>
      <c r="R21" s="91"/>
      <c r="S21" s="91"/>
      <c r="T21" s="91"/>
      <c r="U21" s="91"/>
      <c r="V21" s="91"/>
      <c r="W21" s="91"/>
      <c r="X21" s="91"/>
      <c r="Y21" s="91"/>
      <c r="Z21" s="91"/>
      <c r="AA21" s="91"/>
      <c r="AB21" s="91"/>
      <c r="AC21" s="91"/>
      <c r="AD21" s="91"/>
      <c r="AE21" s="91"/>
      <c r="AF21" s="91"/>
    </row>
    <row r="22" spans="2:32" x14ac:dyDescent="0.25">
      <c r="B22" s="92" t="s">
        <v>60</v>
      </c>
    </row>
    <row r="23" spans="2:32" x14ac:dyDescent="0.25">
      <c r="B23" s="92" t="s">
        <v>65</v>
      </c>
    </row>
    <row r="24" spans="2:32" x14ac:dyDescent="0.25">
      <c r="B24" s="92" t="s">
        <v>56</v>
      </c>
    </row>
    <row r="25" spans="2:32" x14ac:dyDescent="0.25">
      <c r="B25" s="92" t="s">
        <v>64</v>
      </c>
    </row>
    <row r="26" spans="2:32" x14ac:dyDescent="0.25">
      <c r="B26" s="93" t="s">
        <v>62</v>
      </c>
    </row>
    <row r="27" spans="2:32" x14ac:dyDescent="0.25">
      <c r="B27" s="92" t="s">
        <v>68</v>
      </c>
    </row>
    <row r="28" spans="2:32" x14ac:dyDescent="0.25">
      <c r="B28" s="92" t="s">
        <v>61</v>
      </c>
    </row>
    <row r="29" spans="2:32" x14ac:dyDescent="0.25">
      <c r="B29" s="95" t="s">
        <v>124</v>
      </c>
    </row>
    <row r="30" spans="2:32" ht="15" customHeight="1" x14ac:dyDescent="0.25">
      <c r="B30" s="92" t="s">
        <v>69</v>
      </c>
      <c r="C30" s="91"/>
      <c r="D30" s="91"/>
      <c r="E30" s="91"/>
      <c r="F30" s="91"/>
      <c r="G30" s="91"/>
      <c r="H30" s="91"/>
      <c r="I30" s="91"/>
      <c r="J30" s="91"/>
      <c r="K30" s="91"/>
      <c r="L30" s="91"/>
      <c r="M30" s="91"/>
      <c r="N30" s="91"/>
      <c r="O30" s="91"/>
      <c r="P30" s="91"/>
    </row>
    <row r="31" spans="2:32" ht="15" customHeight="1" x14ac:dyDescent="0.25">
      <c r="B31" s="92" t="s">
        <v>70</v>
      </c>
      <c r="C31" s="91"/>
      <c r="D31" s="91"/>
      <c r="E31" s="91"/>
      <c r="F31" s="91"/>
      <c r="G31" s="91"/>
      <c r="H31" s="91"/>
      <c r="I31" s="91"/>
      <c r="J31" s="91"/>
      <c r="K31" s="91"/>
      <c r="L31" s="91"/>
      <c r="M31" s="91"/>
      <c r="N31" s="91"/>
      <c r="O31" s="91"/>
      <c r="P31" s="91"/>
    </row>
    <row r="32" spans="2:32" ht="15" customHeight="1" x14ac:dyDescent="0.25">
      <c r="B32" s="92" t="s">
        <v>66</v>
      </c>
      <c r="C32" s="91"/>
      <c r="D32" s="91"/>
      <c r="E32" s="91"/>
      <c r="F32" s="91"/>
      <c r="G32" s="91"/>
      <c r="H32" s="91"/>
      <c r="I32" s="91"/>
      <c r="J32" s="91"/>
      <c r="K32" s="91"/>
      <c r="L32" s="91"/>
      <c r="M32" s="91"/>
      <c r="N32" s="91"/>
      <c r="O32" s="91"/>
      <c r="P32" s="91"/>
    </row>
    <row r="33" spans="2:16" ht="15" customHeight="1" x14ac:dyDescent="0.25">
      <c r="B33" s="95" t="s">
        <v>125</v>
      </c>
      <c r="C33" s="91"/>
      <c r="D33" s="91"/>
      <c r="E33" s="91"/>
      <c r="F33" s="91"/>
      <c r="G33" s="91"/>
      <c r="H33" s="91"/>
      <c r="I33" s="91"/>
      <c r="J33" s="91"/>
      <c r="K33" s="91"/>
      <c r="L33" s="91"/>
      <c r="M33" s="91"/>
      <c r="N33" s="91"/>
      <c r="O33" s="91"/>
      <c r="P33" s="91"/>
    </row>
    <row r="34" spans="2:16" ht="15" customHeight="1" x14ac:dyDescent="0.25">
      <c r="B34" s="92" t="s">
        <v>114</v>
      </c>
      <c r="C34" s="91"/>
      <c r="D34" s="91"/>
      <c r="E34" s="91"/>
      <c r="F34" s="91"/>
      <c r="G34" s="91"/>
      <c r="H34" s="91"/>
      <c r="I34" s="91"/>
      <c r="J34" s="91"/>
      <c r="K34" s="91"/>
      <c r="L34" s="91"/>
      <c r="M34" s="91"/>
      <c r="N34" s="91"/>
      <c r="O34" s="91"/>
      <c r="P34" s="91"/>
    </row>
    <row r="35" spans="2:16" ht="15" customHeight="1" x14ac:dyDescent="0.25">
      <c r="B35" s="95" t="s">
        <v>126</v>
      </c>
      <c r="C35" s="91"/>
      <c r="D35" s="91"/>
      <c r="E35" s="91"/>
      <c r="F35" s="91"/>
      <c r="G35" s="91"/>
      <c r="H35" s="91"/>
      <c r="I35" s="91"/>
      <c r="J35" s="91"/>
      <c r="K35" s="91"/>
      <c r="L35" s="91"/>
      <c r="M35" s="91"/>
      <c r="N35" s="91"/>
      <c r="O35" s="91"/>
      <c r="P35" s="91"/>
    </row>
    <row r="36" spans="2:16" ht="15" customHeight="1" x14ac:dyDescent="0.25">
      <c r="B36" s="92" t="s">
        <v>71</v>
      </c>
      <c r="C36" s="91"/>
      <c r="D36" s="91"/>
      <c r="E36" s="91"/>
      <c r="F36" s="91"/>
      <c r="G36" s="91"/>
      <c r="H36" s="91"/>
      <c r="I36" s="91"/>
      <c r="J36" s="91"/>
      <c r="K36" s="91"/>
      <c r="L36" s="91"/>
      <c r="M36" s="91"/>
      <c r="N36" s="91"/>
      <c r="O36" s="91"/>
      <c r="P36" s="91"/>
    </row>
    <row r="37" spans="2:16" ht="15" customHeight="1" x14ac:dyDescent="0.25">
      <c r="B37" s="92" t="s">
        <v>72</v>
      </c>
      <c r="C37" s="91"/>
      <c r="D37" s="91"/>
      <c r="E37" s="91"/>
      <c r="F37" s="91"/>
      <c r="G37" s="91"/>
      <c r="H37" s="91"/>
      <c r="I37" s="91"/>
      <c r="J37" s="91"/>
      <c r="K37" s="91"/>
      <c r="L37" s="91"/>
      <c r="M37" s="91"/>
      <c r="N37" s="91"/>
      <c r="O37" s="91"/>
      <c r="P37" s="91"/>
    </row>
    <row r="38" spans="2:16" ht="15" customHeight="1" x14ac:dyDescent="0.25">
      <c r="B38" s="92" t="s">
        <v>67</v>
      </c>
      <c r="C38" s="91"/>
      <c r="D38" s="91"/>
      <c r="E38" s="91"/>
      <c r="F38" s="91"/>
      <c r="G38" s="91"/>
      <c r="H38" s="91"/>
      <c r="I38" s="91"/>
      <c r="J38" s="91"/>
      <c r="K38" s="91"/>
      <c r="L38" s="91"/>
      <c r="M38" s="91"/>
      <c r="N38" s="91"/>
      <c r="O38" s="91"/>
      <c r="P38" s="91"/>
    </row>
    <row r="39" spans="2:16" x14ac:dyDescent="0.25">
      <c r="B39" s="95" t="s">
        <v>127</v>
      </c>
    </row>
    <row r="40" spans="2:16" x14ac:dyDescent="0.25">
      <c r="B40" s="92" t="s">
        <v>73</v>
      </c>
    </row>
    <row r="42" spans="2:16" x14ac:dyDescent="0.25">
      <c r="B42" s="36" t="s">
        <v>112</v>
      </c>
    </row>
    <row r="43" spans="2:16" x14ac:dyDescent="0.25">
      <c r="B43" s="89" t="s">
        <v>117</v>
      </c>
    </row>
    <row r="44" spans="2:16" x14ac:dyDescent="0.25">
      <c r="B44" s="89"/>
    </row>
    <row r="45" spans="2:16" x14ac:dyDescent="0.25">
      <c r="B45" s="36" t="s">
        <v>113</v>
      </c>
    </row>
    <row r="46" spans="2:16" x14ac:dyDescent="0.25">
      <c r="B46" s="89" t="s">
        <v>116</v>
      </c>
    </row>
    <row r="47" spans="2:16" x14ac:dyDescent="0.25">
      <c r="B47" s="92" t="s">
        <v>109</v>
      </c>
    </row>
    <row r="48" spans="2:16" x14ac:dyDescent="0.25">
      <c r="B48" s="89"/>
    </row>
    <row r="49" spans="2:2" x14ac:dyDescent="0.25">
      <c r="B49" s="92"/>
    </row>
    <row r="50" spans="2:2" x14ac:dyDescent="0.25">
      <c r="B50" s="92"/>
    </row>
    <row r="52" spans="2:2" x14ac:dyDescent="0.25">
      <c r="B52" s="164"/>
    </row>
  </sheetData>
  <mergeCells count="2">
    <mergeCell ref="B5:P11"/>
    <mergeCell ref="B16:P16"/>
  </mergeCells>
  <pageMargins left="0.7" right="0.7" top="0.75" bottom="0.75" header="0.3" footer="0.3"/>
  <pageSetup orientation="portrait" r:id="rId1"/>
  <headerFooter>
    <oddHeader>&amp;CSVB Capital Tempate</oddHeader>
  </headerFooter>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E339B7-63A1-456A-A1BD-7D55769E5107}">
  <sheetPr codeName="Sheet2"/>
  <dimension ref="A1:DD105"/>
  <sheetViews>
    <sheetView showGridLines="0" zoomScaleNormal="100" workbookViewId="0"/>
  </sheetViews>
  <sheetFormatPr defaultRowHeight="15" outlineLevelCol="1" x14ac:dyDescent="0.25"/>
  <cols>
    <col min="1" max="1" width="5.85546875" style="2" customWidth="1"/>
    <col min="2" max="2" width="18.85546875" style="3" customWidth="1"/>
    <col min="3" max="3" width="10.140625" style="3" customWidth="1"/>
    <col min="4" max="4" width="13.7109375" style="2" bestFit="1" customWidth="1"/>
    <col min="5" max="5" width="15.7109375" style="2" customWidth="1"/>
    <col min="6" max="6" width="5.85546875" style="2" customWidth="1"/>
    <col min="7" max="7" width="25" style="2" customWidth="1"/>
    <col min="8" max="9" width="13.7109375" style="2" customWidth="1"/>
    <col min="10" max="10" width="5.85546875" style="2" customWidth="1"/>
    <col min="11" max="11" width="15.42578125" style="2" customWidth="1"/>
    <col min="12" max="12" width="16.28515625" style="2" bestFit="1" customWidth="1"/>
    <col min="13" max="13" width="17" style="2" bestFit="1" customWidth="1"/>
    <col min="14" max="14" width="5.85546875" style="2" customWidth="1"/>
    <col min="15" max="15" width="15.42578125" style="2" customWidth="1"/>
    <col min="16" max="16" width="11.7109375" style="2" bestFit="1" customWidth="1"/>
    <col min="17" max="17" width="18.140625" style="2" bestFit="1" customWidth="1"/>
    <col min="18" max="18" width="16.7109375" style="2" bestFit="1" customWidth="1"/>
    <col min="19" max="20" width="11.28515625" style="2" customWidth="1"/>
    <col min="21" max="21" width="20.42578125" style="2" bestFit="1" customWidth="1"/>
    <col min="22" max="22" width="15.42578125" style="2" customWidth="1"/>
    <col min="23" max="23" width="11.42578125" style="2" customWidth="1"/>
    <col min="24" max="24" width="5.85546875" style="2" customWidth="1"/>
    <col min="25" max="25" width="0.7109375" style="2" hidden="1" customWidth="1"/>
    <col min="26" max="26" width="16.5703125" style="2" customWidth="1"/>
    <col min="27" max="27" width="16.7109375" style="2" customWidth="1"/>
    <col min="28" max="28" width="11.28515625" style="2" customWidth="1"/>
    <col min="29" max="30" width="16.7109375" style="2" customWidth="1"/>
    <col min="31" max="31" width="11.140625" style="2" customWidth="1"/>
    <col min="32" max="32" width="16.7109375" style="2" hidden="1" customWidth="1" outlineLevel="1"/>
    <col min="33" max="33" width="16.7109375" style="109" hidden="1" customWidth="1" outlineLevel="1"/>
    <col min="34" max="34" width="16.7109375" style="2" hidden="1" customWidth="1" outlineLevel="1"/>
    <col min="35" max="35" width="15.7109375" style="2" hidden="1" customWidth="1" outlineLevel="1"/>
    <col min="36" max="36" width="16.7109375" style="2" customWidth="1" collapsed="1"/>
    <col min="37" max="37" width="11.28515625" style="2" customWidth="1"/>
    <col min="38" max="39" width="16.7109375" style="2" customWidth="1"/>
    <col min="40" max="40" width="11.140625" style="2" customWidth="1"/>
    <col min="41" max="44" width="16.7109375" style="2" hidden="1" customWidth="1" outlineLevel="1"/>
    <col min="45" max="45" width="16.7109375" style="2" customWidth="1" collapsed="1"/>
    <col min="46" max="46" width="11.28515625" style="2" customWidth="1"/>
    <col min="47" max="48" width="16.7109375" style="2" customWidth="1"/>
    <col min="49" max="49" width="11.140625" style="2" customWidth="1"/>
    <col min="50" max="53" width="16.7109375" style="2" hidden="1" customWidth="1" outlineLevel="1"/>
    <col min="54" max="54" width="16.7109375" style="2" customWidth="1" collapsed="1"/>
    <col min="55" max="55" width="11.28515625" style="2" customWidth="1"/>
    <col min="56" max="57" width="16.7109375" style="2" customWidth="1"/>
    <col min="58" max="58" width="11.140625" style="2" customWidth="1"/>
    <col min="59" max="62" width="16.7109375" style="2" hidden="1" customWidth="1" outlineLevel="1"/>
    <col min="63" max="63" width="16.7109375" style="2" customWidth="1" collapsed="1"/>
    <col min="64" max="64" width="11.28515625" style="2" customWidth="1"/>
    <col min="65" max="66" width="16.7109375" style="2" customWidth="1"/>
    <col min="67" max="67" width="11.140625" style="2" customWidth="1"/>
    <col min="68" max="71" width="16.7109375" style="2" hidden="1" customWidth="1" outlineLevel="1"/>
    <col min="72" max="72" width="16.7109375" style="2" customWidth="1" collapsed="1"/>
    <col min="73" max="73" width="11.28515625" style="2" customWidth="1"/>
    <col min="74" max="75" width="16.7109375" style="2" customWidth="1"/>
    <col min="76" max="76" width="11.140625" style="2" customWidth="1"/>
    <col min="77" max="80" width="16.7109375" style="2" hidden="1" customWidth="1" outlineLevel="1"/>
    <col min="81" max="81" width="16.7109375" style="2" customWidth="1" collapsed="1"/>
    <col min="82" max="82" width="11.28515625" style="2" customWidth="1"/>
    <col min="83" max="84" width="16.7109375" style="2" customWidth="1"/>
    <col min="85" max="85" width="11.140625" style="2" customWidth="1"/>
    <col min="86" max="89" width="16.7109375" style="2" hidden="1" customWidth="1" outlineLevel="1"/>
    <col min="90" max="90" width="16.7109375" style="2" customWidth="1" collapsed="1"/>
    <col min="91" max="91" width="11.28515625" style="2" customWidth="1"/>
    <col min="92" max="93" width="16.7109375" style="2" customWidth="1"/>
    <col min="94" max="94" width="11.140625" style="2" customWidth="1"/>
    <col min="95" max="97" width="16.7109375" style="2" hidden="1" customWidth="1" outlineLevel="1"/>
    <col min="98" max="98" width="15.7109375" style="2" hidden="1" customWidth="1" outlineLevel="1"/>
    <col min="99" max="99" width="16.7109375" style="2" customWidth="1" collapsed="1"/>
    <col min="100" max="100" width="11.28515625" style="2" customWidth="1"/>
    <col min="101" max="102" width="16.7109375" style="2" customWidth="1"/>
    <col min="103" max="103" width="11.140625" style="2" customWidth="1"/>
    <col min="104" max="106" width="16.7109375" style="2" hidden="1" customWidth="1" outlineLevel="1"/>
    <col min="107" max="107" width="15.7109375" style="2" hidden="1" customWidth="1" outlineLevel="1"/>
    <col min="108" max="108" width="9.140625" style="2" collapsed="1"/>
    <col min="109" max="16384" width="9.140625" style="2"/>
  </cols>
  <sheetData>
    <row r="1" spans="1:107" x14ac:dyDescent="0.25">
      <c r="A1" s="3"/>
      <c r="AA1" s="98"/>
      <c r="AG1" s="2"/>
      <c r="AJ1" s="1"/>
      <c r="AS1" s="160"/>
      <c r="BB1" s="1"/>
      <c r="BK1" s="1"/>
    </row>
    <row r="2" spans="1:107" x14ac:dyDescent="0.25">
      <c r="AG2" s="2"/>
      <c r="AS2" s="159"/>
    </row>
    <row r="3" spans="1:107" ht="28.5" customHeight="1" x14ac:dyDescent="0.25">
      <c r="B3" s="12" t="s">
        <v>12</v>
      </c>
      <c r="C3" s="59"/>
      <c r="D3" s="59"/>
      <c r="E3" s="60"/>
      <c r="G3" s="12" t="s">
        <v>23</v>
      </c>
      <c r="H3" s="101"/>
      <c r="I3" s="53"/>
      <c r="K3" s="12" t="s">
        <v>15</v>
      </c>
      <c r="L3" s="52"/>
      <c r="M3" s="52"/>
      <c r="O3" s="105" t="s">
        <v>79</v>
      </c>
      <c r="P3" s="105"/>
      <c r="Q3" s="105"/>
      <c r="R3" s="105"/>
      <c r="S3" s="105"/>
      <c r="T3" s="105"/>
      <c r="U3" s="105"/>
      <c r="V3" s="105"/>
      <c r="W3" s="105"/>
      <c r="Z3" s="49"/>
      <c r="AA3" s="12" t="str">
        <f>E22</f>
        <v>Seed</v>
      </c>
      <c r="AB3" s="101"/>
      <c r="AC3" s="13"/>
      <c r="AD3" s="13"/>
      <c r="AE3" s="14"/>
      <c r="AF3" s="26" t="str">
        <f>"Custom "&amp;AA3&amp;" Round Inputs"</f>
        <v>Custom Seed Round Inputs</v>
      </c>
      <c r="AG3" s="108"/>
      <c r="AH3" s="27"/>
      <c r="AI3" s="28"/>
      <c r="AJ3" s="12" t="str" cm="1">
        <f t="array" ref="AJ3">IFERROR(INDEX($B$45:$B$53,MATCH(AA3,$B$45:$B$53,0)+1),"")</f>
        <v>Series A</v>
      </c>
      <c r="AK3" s="101"/>
      <c r="AL3" s="13"/>
      <c r="AM3" s="13"/>
      <c r="AN3" s="14"/>
      <c r="AO3" s="26" t="str">
        <f>"Custom "&amp;AJ3&amp;" Round Inputs"</f>
        <v>Custom Series A Round Inputs</v>
      </c>
      <c r="AP3" s="108"/>
      <c r="AQ3" s="27"/>
      <c r="AR3" s="28"/>
      <c r="AS3" s="12" t="str" cm="1">
        <f t="array" ref="AS3">IFERROR(INDEX($B$45:$B$53,MATCH(AJ3,$B$45:$B$53,0)+1),"")</f>
        <v>Series B</v>
      </c>
      <c r="AT3" s="101"/>
      <c r="AU3" s="13"/>
      <c r="AV3" s="13"/>
      <c r="AW3" s="14"/>
      <c r="AX3" s="26" t="str">
        <f>"Custom "&amp;AS3&amp;" Round Inputs"</f>
        <v>Custom Series B Round Inputs</v>
      </c>
      <c r="AY3" s="108"/>
      <c r="AZ3" s="27"/>
      <c r="BA3" s="28"/>
      <c r="BB3" s="12" t="str" cm="1">
        <f t="array" ref="BB3">IFERROR(INDEX($B$45:$B$53,MATCH(AS3,$B$45:$B$53,0)+1),"")</f>
        <v>Series C</v>
      </c>
      <c r="BC3" s="101"/>
      <c r="BD3" s="13"/>
      <c r="BE3" s="13"/>
      <c r="BF3" s="14"/>
      <c r="BG3" s="26" t="str">
        <f>"Custom "&amp;BB3&amp;" Round Inputs"</f>
        <v>Custom Series C Round Inputs</v>
      </c>
      <c r="BH3" s="108"/>
      <c r="BI3" s="27"/>
      <c r="BJ3" s="28"/>
      <c r="BK3" s="12" t="str" cm="1">
        <f t="array" ref="BK3">IFERROR(INDEX($B$45:$B$53,MATCH(BB3,$B$45:$B$53,0)+1),"")</f>
        <v>Series D</v>
      </c>
      <c r="BL3" s="101"/>
      <c r="BM3" s="13"/>
      <c r="BN3" s="13"/>
      <c r="BO3" s="14"/>
      <c r="BP3" s="26" t="str">
        <f>"Custom "&amp;BK3&amp;" Round Inputs"</f>
        <v>Custom Series D Round Inputs</v>
      </c>
      <c r="BQ3" s="108"/>
      <c r="BR3" s="27"/>
      <c r="BS3" s="28"/>
      <c r="BT3" s="12" t="str" cm="1">
        <f t="array" ref="BT3">IFERROR(INDEX($B$45:$B$53,MATCH(BK3,$B$45:$B$53,0)+1),"")</f>
        <v>Series E</v>
      </c>
      <c r="BU3" s="101"/>
      <c r="BV3" s="13"/>
      <c r="BW3" s="13"/>
      <c r="BX3" s="14"/>
      <c r="BY3" s="26" t="str">
        <f>"Custom "&amp;BT3&amp;" Round Inputs"</f>
        <v>Custom Series E Round Inputs</v>
      </c>
      <c r="BZ3" s="108"/>
      <c r="CA3" s="27"/>
      <c r="CB3" s="28"/>
      <c r="CC3" s="12" t="str" cm="1">
        <f t="array" ref="CC3">IFERROR(INDEX($B$45:$B$53,MATCH(BT3,$B$45:$B$53,0)+1),"")</f>
        <v>Series F</v>
      </c>
      <c r="CD3" s="101"/>
      <c r="CE3" s="13"/>
      <c r="CF3" s="13"/>
      <c r="CG3" s="14"/>
      <c r="CH3" s="26" t="str">
        <f>"Custom "&amp;CC3&amp;" Round Inputs"</f>
        <v>Custom Series F Round Inputs</v>
      </c>
      <c r="CI3" s="108"/>
      <c r="CJ3" s="27"/>
      <c r="CK3" s="28"/>
      <c r="CL3" s="12" t="str" cm="1">
        <f t="array" ref="CL3">IFERROR(INDEX($B$45:$B$53,MATCH(CC3,$B$45:$B$53,0)+1),"")</f>
        <v>Series G</v>
      </c>
      <c r="CM3" s="101"/>
      <c r="CN3" s="13"/>
      <c r="CO3" s="13"/>
      <c r="CP3" s="14"/>
      <c r="CQ3" s="26" t="str">
        <f>"Custom "&amp;CL3&amp;" Round Inputs"</f>
        <v>Custom Series G Round Inputs</v>
      </c>
      <c r="CR3" s="108"/>
      <c r="CS3" s="27"/>
      <c r="CT3" s="28"/>
      <c r="CU3" s="12" t="str" cm="1">
        <f t="array" ref="CU3">IFERROR(INDEX($B$45:$B$53,MATCH(CL3,$B$45:$B$53,0)+1),"")</f>
        <v/>
      </c>
      <c r="CV3" s="101"/>
      <c r="CW3" s="13"/>
      <c r="CX3" s="13"/>
      <c r="CY3" s="14"/>
      <c r="CZ3" s="26" t="str">
        <f>"Custom "&amp;CU3&amp;" Round Inputs"</f>
        <v>Custom  Round Inputs</v>
      </c>
      <c r="DA3" s="108"/>
      <c r="DB3" s="27"/>
      <c r="DC3" s="28"/>
    </row>
    <row r="4" spans="1:107" x14ac:dyDescent="0.25">
      <c r="B4" s="74" t="s">
        <v>5</v>
      </c>
      <c r="C4" s="55"/>
      <c r="D4" s="55"/>
      <c r="E4" s="56"/>
      <c r="G4" s="74" t="s">
        <v>29</v>
      </c>
      <c r="H4" s="55"/>
      <c r="I4" s="56"/>
      <c r="K4" s="54" t="s">
        <v>1</v>
      </c>
      <c r="L4" s="15" t="s">
        <v>16</v>
      </c>
      <c r="M4" s="15" t="s">
        <v>17</v>
      </c>
      <c r="O4" s="54" t="s">
        <v>1</v>
      </c>
      <c r="P4" s="104" t="s">
        <v>21</v>
      </c>
      <c r="Q4" s="104" t="s">
        <v>20</v>
      </c>
      <c r="R4" s="104" t="s">
        <v>18</v>
      </c>
      <c r="S4" s="104" t="s">
        <v>78</v>
      </c>
      <c r="T4" s="104" t="s">
        <v>77</v>
      </c>
      <c r="U4" s="104" t="s">
        <v>19</v>
      </c>
      <c r="V4" s="104" t="s">
        <v>80</v>
      </c>
      <c r="W4" s="104" t="s">
        <v>129</v>
      </c>
      <c r="Z4" s="50" t="s">
        <v>1</v>
      </c>
      <c r="AA4" s="15" t="s">
        <v>2</v>
      </c>
      <c r="AB4" s="15" t="s">
        <v>76</v>
      </c>
      <c r="AC4" s="15" t="s">
        <v>3</v>
      </c>
      <c r="AD4" s="15" t="s">
        <v>14</v>
      </c>
      <c r="AE4" s="19" t="s">
        <v>4</v>
      </c>
      <c r="AF4" s="29" t="s">
        <v>2</v>
      </c>
      <c r="AG4" s="30" t="s">
        <v>76</v>
      </c>
      <c r="AH4" s="30" t="s">
        <v>3</v>
      </c>
      <c r="AI4" s="31" t="s">
        <v>14</v>
      </c>
      <c r="AJ4" s="22" t="s">
        <v>2</v>
      </c>
      <c r="AK4" s="15" t="s">
        <v>76</v>
      </c>
      <c r="AL4" s="23" t="s">
        <v>3</v>
      </c>
      <c r="AM4" s="23" t="s">
        <v>14</v>
      </c>
      <c r="AN4" s="24" t="s">
        <v>4</v>
      </c>
      <c r="AO4" s="29" t="s">
        <v>2</v>
      </c>
      <c r="AP4" s="30" t="s">
        <v>76</v>
      </c>
      <c r="AQ4" s="30" t="s">
        <v>3</v>
      </c>
      <c r="AR4" s="31" t="s">
        <v>14</v>
      </c>
      <c r="AS4" s="22" t="s">
        <v>2</v>
      </c>
      <c r="AT4" s="15" t="s">
        <v>76</v>
      </c>
      <c r="AU4" s="23" t="s">
        <v>3</v>
      </c>
      <c r="AV4" s="23" t="s">
        <v>14</v>
      </c>
      <c r="AW4" s="24" t="s">
        <v>4</v>
      </c>
      <c r="AX4" s="29" t="s">
        <v>2</v>
      </c>
      <c r="AY4" s="30" t="s">
        <v>76</v>
      </c>
      <c r="AZ4" s="30" t="s">
        <v>3</v>
      </c>
      <c r="BA4" s="31" t="s">
        <v>14</v>
      </c>
      <c r="BB4" s="22" t="s">
        <v>2</v>
      </c>
      <c r="BC4" s="15" t="s">
        <v>76</v>
      </c>
      <c r="BD4" s="23" t="s">
        <v>3</v>
      </c>
      <c r="BE4" s="23" t="s">
        <v>14</v>
      </c>
      <c r="BF4" s="24" t="s">
        <v>4</v>
      </c>
      <c r="BG4" s="29" t="s">
        <v>2</v>
      </c>
      <c r="BH4" s="30" t="s">
        <v>76</v>
      </c>
      <c r="BI4" s="30" t="s">
        <v>3</v>
      </c>
      <c r="BJ4" s="31" t="s">
        <v>14</v>
      </c>
      <c r="BK4" s="22" t="s">
        <v>2</v>
      </c>
      <c r="BL4" s="15" t="s">
        <v>76</v>
      </c>
      <c r="BM4" s="23" t="s">
        <v>3</v>
      </c>
      <c r="BN4" s="23" t="s">
        <v>14</v>
      </c>
      <c r="BO4" s="24" t="s">
        <v>4</v>
      </c>
      <c r="BP4" s="29" t="s">
        <v>2</v>
      </c>
      <c r="BQ4" s="30" t="s">
        <v>76</v>
      </c>
      <c r="BR4" s="30" t="s">
        <v>3</v>
      </c>
      <c r="BS4" s="31" t="s">
        <v>14</v>
      </c>
      <c r="BT4" s="22" t="s">
        <v>2</v>
      </c>
      <c r="BU4" s="15" t="s">
        <v>76</v>
      </c>
      <c r="BV4" s="23" t="s">
        <v>3</v>
      </c>
      <c r="BW4" s="23" t="s">
        <v>14</v>
      </c>
      <c r="BX4" s="24" t="s">
        <v>4</v>
      </c>
      <c r="BY4" s="29" t="s">
        <v>2</v>
      </c>
      <c r="BZ4" s="30" t="s">
        <v>76</v>
      </c>
      <c r="CA4" s="30" t="s">
        <v>3</v>
      </c>
      <c r="CB4" s="31" t="s">
        <v>14</v>
      </c>
      <c r="CC4" s="22" t="s">
        <v>2</v>
      </c>
      <c r="CD4" s="15" t="s">
        <v>76</v>
      </c>
      <c r="CE4" s="23" t="s">
        <v>3</v>
      </c>
      <c r="CF4" s="23" t="s">
        <v>14</v>
      </c>
      <c r="CG4" s="24" t="s">
        <v>4</v>
      </c>
      <c r="CH4" s="29" t="s">
        <v>2</v>
      </c>
      <c r="CI4" s="30" t="s">
        <v>76</v>
      </c>
      <c r="CJ4" s="30" t="s">
        <v>3</v>
      </c>
      <c r="CK4" s="31" t="s">
        <v>14</v>
      </c>
      <c r="CL4" s="22" t="s">
        <v>2</v>
      </c>
      <c r="CM4" s="15" t="s">
        <v>76</v>
      </c>
      <c r="CN4" s="23" t="s">
        <v>3</v>
      </c>
      <c r="CO4" s="23" t="s">
        <v>14</v>
      </c>
      <c r="CP4" s="24" t="s">
        <v>4</v>
      </c>
      <c r="CQ4" s="29" t="s">
        <v>2</v>
      </c>
      <c r="CR4" s="30" t="s">
        <v>76</v>
      </c>
      <c r="CS4" s="30" t="s">
        <v>3</v>
      </c>
      <c r="CT4" s="31" t="s">
        <v>14</v>
      </c>
      <c r="CU4" s="22" t="s">
        <v>2</v>
      </c>
      <c r="CV4" s="15" t="s">
        <v>76</v>
      </c>
      <c r="CW4" s="23" t="s">
        <v>3</v>
      </c>
      <c r="CX4" s="23" t="s">
        <v>14</v>
      </c>
      <c r="CY4" s="24" t="s">
        <v>4</v>
      </c>
      <c r="CZ4" s="29" t="s">
        <v>2</v>
      </c>
      <c r="DA4" s="30" t="s">
        <v>76</v>
      </c>
      <c r="DB4" s="30" t="s">
        <v>3</v>
      </c>
      <c r="DC4" s="31" t="s">
        <v>14</v>
      </c>
    </row>
    <row r="5" spans="1:107" x14ac:dyDescent="0.25">
      <c r="B5" s="44" t="s">
        <v>58</v>
      </c>
      <c r="D5" s="3"/>
      <c r="E5" s="94" t="s">
        <v>57</v>
      </c>
      <c r="G5" s="41" t="s">
        <v>24</v>
      </c>
      <c r="H5" s="106"/>
      <c r="I5" s="42">
        <f>E10</f>
        <v>100000000</v>
      </c>
      <c r="K5" s="20" t="s">
        <v>13</v>
      </c>
      <c r="L5" s="16"/>
      <c r="M5" s="16"/>
      <c r="O5" s="20" t="s">
        <v>13</v>
      </c>
      <c r="P5" s="16"/>
      <c r="Q5" s="16"/>
      <c r="R5" s="16"/>
      <c r="S5" s="16"/>
      <c r="T5" s="16"/>
      <c r="U5" s="57">
        <f ca="1">SUM(U6:U105)</f>
        <v>83125000</v>
      </c>
      <c r="V5" s="57">
        <f ca="1">SUM(V6:V105)</f>
        <v>526438191.68185097</v>
      </c>
      <c r="W5" s="58">
        <f ca="1">V5/U5</f>
        <v>6.3330910277515908</v>
      </c>
      <c r="Z5" s="51" t="s">
        <v>13</v>
      </c>
      <c r="AA5" s="17">
        <f ca="1">SUM(AA6:AA105)</f>
        <v>50000000</v>
      </c>
      <c r="AB5" s="17"/>
      <c r="AC5" s="18"/>
      <c r="AD5" s="18"/>
      <c r="AE5" s="21"/>
      <c r="AF5" s="25">
        <f>SUM(AF6:AF105)</f>
        <v>50000000</v>
      </c>
      <c r="AG5" s="17"/>
      <c r="AH5" s="18"/>
      <c r="AI5" s="21"/>
      <c r="AJ5" s="25">
        <f ca="1">SUM(AJ6:AJ105)</f>
        <v>26181818.181818172</v>
      </c>
      <c r="AK5" s="17"/>
      <c r="AL5" s="18"/>
      <c r="AM5" s="18"/>
      <c r="AN5" s="21"/>
      <c r="AO5" s="25">
        <f>SUM(AO6:AO105)</f>
        <v>26181818.181818172</v>
      </c>
      <c r="AP5" s="17"/>
      <c r="AQ5" s="18"/>
      <c r="AR5" s="21"/>
      <c r="AS5" s="25">
        <f ca="1">SUM(AS6:AS105)</f>
        <v>6943181.8181818277</v>
      </c>
      <c r="AT5" s="17"/>
      <c r="AU5" s="18"/>
      <c r="AV5" s="18"/>
      <c r="AW5" s="21"/>
      <c r="AX5" s="25">
        <f>SUM(AX6:AX105)</f>
        <v>7943181.8181818277</v>
      </c>
      <c r="AY5" s="17"/>
      <c r="AZ5" s="18"/>
      <c r="BA5" s="21"/>
      <c r="BB5" s="25">
        <f>SUM(BB6:BB105)</f>
        <v>0</v>
      </c>
      <c r="BC5" s="17"/>
      <c r="BD5" s="18"/>
      <c r="BE5" s="18"/>
      <c r="BF5" s="21"/>
      <c r="BG5" s="25">
        <f>SUM(BG6:BG105)</f>
        <v>0</v>
      </c>
      <c r="BH5" s="17"/>
      <c r="BI5" s="18"/>
      <c r="BJ5" s="21"/>
      <c r="BK5" s="25">
        <f>SUM(BK6:BK105)</f>
        <v>0</v>
      </c>
      <c r="BL5" s="17"/>
      <c r="BM5" s="18"/>
      <c r="BN5" s="18"/>
      <c r="BO5" s="21"/>
      <c r="BP5" s="25">
        <f>SUM(BP6:BP105)</f>
        <v>0</v>
      </c>
      <c r="BQ5" s="17"/>
      <c r="BR5" s="18"/>
      <c r="BS5" s="21"/>
      <c r="BT5" s="25">
        <f>SUM(BT6:BT105)</f>
        <v>0</v>
      </c>
      <c r="BU5" s="17"/>
      <c r="BV5" s="18"/>
      <c r="BW5" s="18"/>
      <c r="BX5" s="21"/>
      <c r="BY5" s="25">
        <f>SUM(BY6:BY105)</f>
        <v>0</v>
      </c>
      <c r="BZ5" s="17"/>
      <c r="CA5" s="18"/>
      <c r="CB5" s="21"/>
      <c r="CC5" s="25">
        <f>SUM(CC6:CC105)</f>
        <v>0</v>
      </c>
      <c r="CD5" s="17"/>
      <c r="CE5" s="18"/>
      <c r="CF5" s="18"/>
      <c r="CG5" s="21"/>
      <c r="CH5" s="25">
        <f>SUM(CH6:CH105)</f>
        <v>0</v>
      </c>
      <c r="CI5" s="17"/>
      <c r="CJ5" s="18"/>
      <c r="CK5" s="21"/>
      <c r="CL5" s="25">
        <f>SUM(CL6:CL105)</f>
        <v>0</v>
      </c>
      <c r="CM5" s="17"/>
      <c r="CN5" s="18"/>
      <c r="CO5" s="18"/>
      <c r="CP5" s="21"/>
      <c r="CQ5" s="25">
        <f>SUM(CQ6:CQ105)</f>
        <v>0</v>
      </c>
      <c r="CR5" s="17"/>
      <c r="CS5" s="18"/>
      <c r="CT5" s="21"/>
      <c r="CU5" s="25">
        <f>SUM(CU6:CU105)</f>
        <v>0</v>
      </c>
      <c r="CV5" s="17"/>
      <c r="CW5" s="18"/>
      <c r="CX5" s="18"/>
      <c r="CY5" s="21"/>
      <c r="CZ5" s="25">
        <f>SUM(CZ6:CZ105)</f>
        <v>0</v>
      </c>
      <c r="DA5" s="17"/>
      <c r="DB5" s="18"/>
      <c r="DC5" s="21"/>
    </row>
    <row r="6" spans="1:107" x14ac:dyDescent="0.25">
      <c r="B6" s="44"/>
      <c r="D6" s="3"/>
      <c r="E6" s="47"/>
      <c r="G6" s="43" t="s">
        <v>119</v>
      </c>
      <c r="H6" s="86"/>
      <c r="I6" s="85">
        <f>I5*(1+E11)+'Cash Flows'!BX8</f>
        <v>93125000.000000015</v>
      </c>
      <c r="K6" s="6">
        <f>Z6</f>
        <v>1</v>
      </c>
      <c r="L6" s="32">
        <v>3000000000</v>
      </c>
      <c r="M6" s="33" t="s">
        <v>11</v>
      </c>
      <c r="O6" s="6">
        <f>Z6</f>
        <v>1</v>
      </c>
      <c r="P6" s="35" t="str">
        <f t="shared" ref="P6:P37" ca="1" si="0">IF(AA6="",IF(AJ6="",IF(AS6="",IF(BB6="",IF(BK6="","",$BK$3),$BB$3),$AS$3),$AJ$3),$AA$3)</f>
        <v>Seed</v>
      </c>
      <c r="Q6" s="102">
        <f t="shared" ref="Q6:Q37" ca="1" si="1">IF($E$5="Uniform Inputs",AE6,IF(P6=$AA$3,AE6,IF(P6=$AJ$3,AN6,IF(P6=$AS$3,AW6,IF(P6=$BB$3,BF6,IF(P6=$BK$3,BO6,""))))))</f>
        <v>0.18181818181818182</v>
      </c>
      <c r="R6" s="102">
        <f t="shared" ref="R6:R37" ca="1" si="2">IFERROR(OFFSET($Z$6,MATCH($K6,$Z$6:$Z$105,0)-1,MATCH($M6,$AA$3:$CY$3,0)+4),"")</f>
        <v>8.067161092985653E-2</v>
      </c>
      <c r="S6" s="112">
        <f>IF($E$5="Uniform Inputs",AB6,IF(P6=$AA$3,AB6,IF(P6=$AJ$3,AK6,IF(P6=$AS$3,AT6,IF(P6=$BB$3,BC6,IF(P6=$BK$3,BL6,""))))))</f>
        <v>44591</v>
      </c>
      <c r="T6" s="112">
        <f t="shared" ref="T6:T37" ca="1" si="3">IFERROR(IF($E$5="Uniform Inputs",OFFSET($Z$6,MATCH($K6,$Z$6:$Z$105,0)-1,MATCH($M6,$AA$3:$CY$3,0)+1)+(365*$E$28),OFFSET($Z$6,MATCH($K6,$Z$6:$Z$105,0)-1,MATCH($M6,$AA$3:$CY$3,0)+6)+(365*$E$28)),"")</f>
        <v>48971</v>
      </c>
      <c r="U6" s="1">
        <f ca="1">IF(SUM(AA6,AJ6,AS6,BB6,BK6,BT6,CC6,CL6)&gt;0,SUM(AA6,AJ6,AS6,BB6,BK6,BT6,CC6,CL6),"")</f>
        <v>5570454.5454545468</v>
      </c>
      <c r="V6" s="1">
        <f t="shared" ref="V6:V37" ca="1" si="4">IFERROR(R6*L6,"")</f>
        <v>242014832.78956959</v>
      </c>
      <c r="W6" s="34">
        <f ca="1">IFERROR(V6/U6,"")</f>
        <v>43.446155213141814</v>
      </c>
      <c r="Y6" s="2">
        <v>1</v>
      </c>
      <c r="Z6" s="6">
        <f t="shared" ref="Z6" si="5">IF(Y6&gt;$E$12,"",Y6)</f>
        <v>1</v>
      </c>
      <c r="AA6" s="1">
        <f ca="1">IF($E$5="Uniform Inputs",IF($Z6&gt;$E$12,"",MIN($E$21,($I$5+'Cash Flows'!$BX$8+INDEX('Cash Flows'!$C$19:$BW$19,1,MATCH(EOMONTH(AB6,MOD(-MONTH(AB6),3)-3),'Cash Flows'!$C$4:$BW$4,0)))/$E$12)),IF(AF6&gt;0,AF6,""))</f>
        <v>2000000</v>
      </c>
      <c r="AB6" s="112">
        <f>IF($E$5="Uniform Inputs",IF($Z6&gt;$E$12,"",E9+(30/$E$17)),IF(AG6="","",AG6))</f>
        <v>44591</v>
      </c>
      <c r="AC6" s="1">
        <f>IFERROR(IF($Z6&gt;$E$12,"",IF($E$5="Uniform Inputs",INDEX($D$45:$E$53,MATCH($AA$3,$B$45:$B$53,0),MATCH(AC$4,$D$44:$E$44,0)),IF(AH6=0,"",AH6))),"")</f>
        <v>3000000</v>
      </c>
      <c r="AD6" s="1">
        <f>IFERROR(IF($Z6&gt;$E$12,"",IF($E$5="Uniform Inputs",INDEX($D$45:$E$53,MATCH($AA$3,$B$45:$B$53,0),MATCH(AD$4,$D$44:$E$44,0)),IF(AI6=0,"",AI6))),"")</f>
        <v>11000000</v>
      </c>
      <c r="AE6" s="10">
        <f ca="1">IFERROR(AA6/AD6,"")</f>
        <v>0.18181818181818182</v>
      </c>
      <c r="AF6" s="11">
        <v>2000000</v>
      </c>
      <c r="AG6" s="168">
        <v>44591</v>
      </c>
      <c r="AH6" s="11">
        <v>3000000</v>
      </c>
      <c r="AI6" s="11">
        <v>11000000</v>
      </c>
      <c r="AJ6" s="1">
        <f ca="1">IF($E$5="Uniform Inputs",IF($Z6&gt;$E$13,"",IF($E$23="Pro-Rata",MIN(AL6*AE6,(($I$5+'Cash Flows'!$BX$8+INDEX('Cash Flows'!$C$19:$BW$19,1,MATCH(EOMONTH(AK6,MOD(-MONTH(AK6),3)-3),'Cash Flows'!$C$4:$BW$4,0)))-$AA$5)/$E$13),MIN($E$24,(($I$5+'Cash Flows'!$BX$8+INDEX('Cash Flows'!$C$19:$BW$19,1,MATCH(EOMONTH(AK6,MOD(-MONTH(AK6),3)-3),'Cash Flows'!$C$4:$BW$4,0)))-$AA$5)/$E$13))),IF(AO6=0,"",AO6))</f>
        <v>2181818.1818181816</v>
      </c>
      <c r="AK6" s="112">
        <f t="shared" ref="AK6:AK37" si="6">IF($E$5="Uniform Inputs",IF($Z6&gt;$E$12,"",AB6+(365*$E$28)),IF(AP6=0,"",AP6))</f>
        <v>45138.5</v>
      </c>
      <c r="AL6" s="1">
        <f>IFERROR(IF($Z6&gt;$E$12,"",IF($E$5="Uniform Inputs",INDEX($D$45:$E$53,MATCH($AJ$3,$B$45:$B$53,0),MATCH(AL$4,$D$44:$E$44,0)),IF(AQ6=0,"",AQ6))),"")</f>
        <v>12000000</v>
      </c>
      <c r="AM6" s="1">
        <f>IFERROR(IF($Z6&gt;$E$12,"",IF($E$5="Uniform Inputs",INDEX($D$45:$E$53,MATCH($AJ$3,$B$45:$B$53,0),MATCH(AM$4,$D$44:$E$44,0)),IF(AR6=0,"",AR6))),"")</f>
        <v>48000000</v>
      </c>
      <c r="AN6" s="10">
        <f t="shared" ref="AN6:AN37" ca="1" si="7">IFERROR(IF($E$5="Uniform Inputs",(AE6*(AM6-AL6)+IF(AJ6="",0,AJ6))/AM6,IF(AE6="",AJ6/AM6,(AE6*(AM6-AL6)+IF(AJ6="",0,AJ6))/AM6)),"")</f>
        <v>0.1818181818181818</v>
      </c>
      <c r="AO6" s="11">
        <v>2181818.1818181816</v>
      </c>
      <c r="AP6" s="168">
        <v>45138.5</v>
      </c>
      <c r="AQ6" s="11">
        <v>12000000</v>
      </c>
      <c r="AR6" s="11">
        <v>48000000</v>
      </c>
      <c r="AS6" s="139">
        <f ca="1">IF($E$5="Uniform Inputs",IF($Z6&gt;$E$14,"",IF($E$23="Pro-Rata",MIN(AU6*AN6,(($I$5+'Cash Flows'!$BX$8+INDEX('Cash Flows'!$C$19:$BW$19,1,MATCH(EOMONTH(AT6,MOD(-MONTH(AT6),3)-3),'Cash Flows'!$C$4:$BW$4,0)))-SUM($AJ$5,$AA$5))/$E$14),MIN($E$25,(($I$5+'Cash Flows'!$BX$8+INDEX('Cash Flows'!$C$19:$BW$19,1,MATCH(EOMONTH(AT6,MOD(-MONTH(AT6),3)-3),'Cash Flows'!$C$4:$BW$4,0)))-SUM($AJ$5,$AA$5))/$E$14))),IF(AX6=0,"",AX6))</f>
        <v>1388636.3636363656</v>
      </c>
      <c r="AT6" s="112">
        <f t="shared" ref="AT6:AT37" si="8">IF($E$5="Uniform Inputs",IF($Z6&gt;$E$12,"",AK6+(365*$E$28)),IF(AY6=0,"",AY6))</f>
        <v>45686</v>
      </c>
      <c r="AU6" s="1">
        <f>IFERROR(IF($Z6&gt;$E$12,"",IF($E$5="Uniform Inputs",INDEX($D$45:$E$53,MATCH($AS$3,$B$45:$B$53,0),MATCH(AU$4,$D$44:$E$44,0)),IF(AZ6=0,"",AZ6))),"")</f>
        <v>31000000</v>
      </c>
      <c r="AV6" s="1">
        <f>IFERROR(IF($Z6&gt;$E$12,"",IF($E$5="Uniform Inputs",INDEX($D$45:$E$53,MATCH($AS$3,$B$45:$B$53,0),MATCH(AV$4,$D$44:$E$44,0)),IF(BA6=0,"",BA6))),"")</f>
        <v>142000000</v>
      </c>
      <c r="AW6" s="10">
        <f t="shared" ref="AW6:AW37" ca="1" si="9">IFERROR(IF($E$5="Uniform Inputs",(AN6*(AV6-AU6)+IF(AS6="",0,AS6))/AV6,IF(AN6="",AS6/AV6,(AN6*(AV6-AU6)+IF(AS6="",0,AS6))/AV6)),"")</f>
        <v>0.15190460947503201</v>
      </c>
      <c r="AX6" s="11">
        <v>1588636.3636363656</v>
      </c>
      <c r="AY6" s="168">
        <v>45686</v>
      </c>
      <c r="AZ6" s="11">
        <v>31000000</v>
      </c>
      <c r="BA6" s="11">
        <v>142000000</v>
      </c>
      <c r="BB6" s="1" t="str">
        <f>IF($E$5="Uniform Inputs",IF($Z6&gt;$E$15,"",IF($E$23="Pro-Rata",MIN(BD6*AW6,(($I$5+'Cash Flows'!$BX$8+INDEX('Cash Flows'!$C$19:$BW$19,1,MATCH(EOMONTH(BC6,MOD(-MONTH(BC6),3)-3),'Cash Flows'!$C$4:$BW$4,0)))-SUM($AS$5,$AJ$5,$AA$5))/$E$15),MIN($E$26,(($I$5+'Cash Flows'!$BX$8+INDEX('Cash Flows'!$C$19:$BW$19,1,MATCH(EOMONTH(BC6,MOD(-MONTH(BC6),3)-3),'Cash Flows'!$C$4:$BW$4,0)))-SUM($AS$5,$AJ$5,$AA$5))/$E$15))),IF(BG6=0,"",BG6))</f>
        <v/>
      </c>
      <c r="BC6" s="112">
        <f t="shared" ref="BC6:BC37" si="10">IF($E$5="Uniform Inputs",IF($Z6&gt;$E$12,"",AT6+(365*$E$28)),IF(BH6=0,"",BH6))</f>
        <v>46233.5</v>
      </c>
      <c r="BD6" s="1">
        <f>IFERROR(IF($Z6&gt;$E$12,"",IF($E$5="Uniform Inputs",INDEX($D$45:$E$53,MATCH($BB$3,$B$45:$B$53,0),MATCH(BD$4,$D$44:$E$44,0)),IF(BI6=0,"",BI6))),"")</f>
        <v>70000000</v>
      </c>
      <c r="BE6" s="1">
        <f>IFERROR(IF($Z6&gt;$E$12,"",IF($E$5="Uniform Inputs",INDEX($D$45:$E$53,MATCH($BB$3,$B$45:$B$53,0),MATCH(BE$4,$D$44:$E$44,0)),IF(BJ6=0,"",BJ6))),"")</f>
        <v>375000000</v>
      </c>
      <c r="BF6" s="10">
        <f t="shared" ref="BF6:BF37" ca="1" si="11">IFERROR(IF($E$5="Uniform Inputs",(AW6*(BE6-BD6)+IF(BB6="",0,BB6))/BE6,IF(AW6="",BB6/BE6,(AW6*(BE6-BD6)+IF(BB6="",0,BB6))/BE6)),"")</f>
        <v>0.12354908237302603</v>
      </c>
      <c r="BG6" s="11" t="s">
        <v>22</v>
      </c>
      <c r="BH6" s="168">
        <v>46233.5</v>
      </c>
      <c r="BI6" s="11">
        <v>70000000</v>
      </c>
      <c r="BJ6" s="11">
        <v>375000000</v>
      </c>
      <c r="BK6" s="1" t="str">
        <f>IF($E$5="Uniform Inputs",IF($Z6&gt;$E$16,"",IF($E$23="Pro-Rata",MIN(BM6*BF6,(($I$5+'Cash Flows'!$BX$8+INDEX('Cash Flows'!$C$19:$BW$19,1,MATCH(EOMONTH(BL6,MOD(-MONTH(BL6),3)-3),'Cash Flows'!$C$4:$BW$4,0)))-SUM($BB$5,$AS$5,$AJ$5,$AA$5))/$E$16),MIN($E$27,(($I$5+'Cash Flows'!$BX$8+INDEX('Cash Flows'!$C$19:$BW$19,1,MATCH(EOMONTH(BL6,MOD(-MONTH(BL6),3)-3),'Cash Flows'!$C$4:$BW$4,0)))-SUM($BB$5,$AS$5,$AJ$5,$AA$5))/$E$16))),IF(BP6=0,"",BP6))</f>
        <v/>
      </c>
      <c r="BL6" s="112">
        <f t="shared" ref="BL6:BL37" si="12">IF($E$5="Uniform Inputs",IF($Z6&gt;$E$12,"",BC6+(365*$E$28)),IF(BQ6=0,"",BQ6))</f>
        <v>46781</v>
      </c>
      <c r="BM6" s="1">
        <f>IFERROR(IF($Z6&gt;$E$12,"",IF($E$5="Uniform Inputs",INDEX($D$45:$E$53,MATCH($BK$3,$B$45:$B$53,0),MATCH(BM$4,$D$44:$E$44,0)),IF(BR6=0,"",BR6))),"")</f>
        <v>110000000</v>
      </c>
      <c r="BN6" s="1">
        <f>IFERROR(IF($Z6&gt;$E$12,"",IF($E$5="Uniform Inputs",INDEX($D$45:$E$53,MATCH($BK$3,$B$45:$B$53,0),MATCH(BN$4,$D$44:$E$44,0)),IF(BS6=0,"",BS6))),"")</f>
        <v>1000000000</v>
      </c>
      <c r="BO6" s="10">
        <f t="shared" ref="BO6:BO37" ca="1" si="13">IFERROR(IF($E$5="Uniform Inputs",(BF6*(BN6-BM6)+IF(BK6="",0,BK6))/BN6,IF(BF6="",BK6/BN6,(BF6*(BN6-BM6)+IF(BK6="",0,BK6))/BN6)),"")</f>
        <v>0.10995868331199317</v>
      </c>
      <c r="BP6" s="11" t="s">
        <v>22</v>
      </c>
      <c r="BQ6" s="168">
        <v>46781</v>
      </c>
      <c r="BR6" s="11">
        <v>110000000</v>
      </c>
      <c r="BS6" s="11">
        <v>1000000000</v>
      </c>
      <c r="BT6" s="1" t="str">
        <f>IF($E$5="Uniform Inputs","",IF(BY6&gt;0,IF(BY6=0,"",BY6),""))</f>
        <v/>
      </c>
      <c r="BU6" s="112">
        <f t="shared" ref="BU6:BU37" si="14">IF($E$5="Uniform Inputs",IF($Z6&gt;$E$12,"",BL6+(365*$E$28)),IF(BZ6=0,"",BZ6))</f>
        <v>47328.5</v>
      </c>
      <c r="BV6" s="1">
        <f>IFERROR(IF($Z6&gt;$E$12,"",IF($E$5="Uniform Inputs",INDEX($D$45:$E$53,MATCH($BT$3,$B$45:$B$53,0),MATCH(BV$4,$D$44:$E$44,0)),IF(CA6=0,"",CA6))),"")</f>
        <v>150000000</v>
      </c>
      <c r="BW6" s="1">
        <f>IFERROR(IF($Z6&gt;$E$12,"",IF($E$5="Uniform Inputs",INDEX($D$45:$E$53,MATCH($BT$3,$B$45:$B$53,0),MATCH(BW$4,$D$44:$E$44,0)),IF(CB6=0,"",CB6))),"")</f>
        <v>1300000000</v>
      </c>
      <c r="BX6" s="10">
        <f t="shared" ref="BX6:BX37" ca="1" si="15">IFERROR(IF($E$5="Uniform Inputs",(BO6*(BW6-BV6)+IF(BT6="",0,BT6))/BW6,IF(BO6="",BT6/BW6,(BO6*(BW6-BV6)+IF(BT6="",0,BT6))/BW6)),"")</f>
        <v>9.7271142929840113E-2</v>
      </c>
      <c r="BY6" s="11" t="s">
        <v>22</v>
      </c>
      <c r="BZ6" s="168">
        <v>47328.5</v>
      </c>
      <c r="CA6" s="11">
        <v>150000000</v>
      </c>
      <c r="CB6" s="11">
        <v>1300000000</v>
      </c>
      <c r="CC6" s="1" t="str">
        <f>IF($E$5="Uniform Inputs","",IF(CH6&gt;0,IF(CH6=0,"",CH6),""))</f>
        <v/>
      </c>
      <c r="CD6" s="112">
        <f t="shared" ref="CD6:CD37" si="16">IF($E$5="Uniform Inputs",IF($Z6&gt;$E$12,"",BU6+(365*$E$28)),IF(CI6=0,"",CI6))</f>
        <v>47876</v>
      </c>
      <c r="CE6" s="1">
        <f>IFERROR(IF($Z6&gt;$E$12,"",IF($E$5="Uniform Inputs",INDEX($D$45:$E$53,MATCH($CC$3,$B$45:$B$53,0),MATCH(CE$4,$D$44:$E$44,0)),IF(CJ6=0,"",CJ6))),"")</f>
        <v>200000000</v>
      </c>
      <c r="CF6" s="1">
        <f>IFERROR(IF($Z6&gt;$E$12,"",IF($E$5="Uniform Inputs",INDEX($D$45:$E$53,MATCH($CC$3,$B$45:$B$53,0),MATCH(CF$4,$D$44:$E$44,0)),IF(CK6=0,"",CK6))),"")</f>
        <v>2300000000</v>
      </c>
      <c r="CG6" s="10">
        <f t="shared" ref="CG6:CG37" ca="1" si="17">IFERROR(IF($E$5="Uniform Inputs",(BX6*(CF6-CE6)+IF(CC6="",0,CC6))/CF6,IF(BX6="",CC6/CF6,(BX6*(CF6-CE6)+IF(CC6="",0,CC6))/CF6)),"")</f>
        <v>8.8812782675071408E-2</v>
      </c>
      <c r="CH6" s="11" t="s">
        <v>22</v>
      </c>
      <c r="CI6" s="168">
        <v>47876</v>
      </c>
      <c r="CJ6" s="11">
        <v>200000000</v>
      </c>
      <c r="CK6" s="11">
        <v>2300000000</v>
      </c>
      <c r="CL6" s="1" t="str">
        <f>IF($E$5="Uniform Inputs","",IF(CQ6&gt;0,IF(CQ6=0,"",CQ6),""))</f>
        <v/>
      </c>
      <c r="CM6" s="112">
        <f t="shared" ref="CM6:CM37" si="18">IF($E$5="Uniform Inputs",IF($Z6&gt;$E$12,"",CD6+(365*$E$28)),IF(CR6=0,"",CR6))</f>
        <v>48423.5</v>
      </c>
      <c r="CN6" s="1">
        <f>IFERROR(IF($Z6&gt;$E$12,"",IF($E$5="Uniform Inputs",INDEX($D$45:$E$53,MATCH($CL$3,$B$45:$B$53,0),MATCH(CN$4,$D$44:$E$44,0)),IF(CS6=0,"",CS6))),"")</f>
        <v>275000000</v>
      </c>
      <c r="CO6" s="1">
        <f>IFERROR(IF($Z6&gt;$E$12,"",IF($E$5="Uniform Inputs",INDEX($D$45:$E$53,MATCH($CL$3,$B$45:$B$53,0),MATCH(CO$4,$D$44:$E$44,0)),IF(CT6=0,"",CT6))),"")</f>
        <v>3000000000</v>
      </c>
      <c r="CP6" s="10">
        <f t="shared" ref="CP6:CP37" ca="1" si="19">IFERROR(IF($E$5="Uniform Inputs",(CG6*(CO6-CN6)+IF(CL6="",0,CL6))/CO6,IF(CG6="",CL6/CO6,(CG6*(CO6-CN6)+IF(CL6="",0,CL6))/CO6)),"")</f>
        <v>8.067161092985653E-2</v>
      </c>
      <c r="CQ6" s="11" t="s">
        <v>22</v>
      </c>
      <c r="CR6" s="168">
        <v>48423.5</v>
      </c>
      <c r="CS6" s="11">
        <v>275000000</v>
      </c>
      <c r="CT6" s="11">
        <v>3000000000</v>
      </c>
      <c r="CU6" s="1" t="str">
        <f>IF($E$5="Uniform Inputs","",IF(CZ6&gt;0,IF(CZ6=0,"",CZ6),""))</f>
        <v/>
      </c>
      <c r="CV6" s="112">
        <f t="shared" ref="CV6:CV37" si="20">IF($E$5="Uniform Inputs",IF($Z6&gt;$E$12,"",CM6+(365*$E$28)),IF(DA6=0,"",DA6))</f>
        <v>48971</v>
      </c>
      <c r="CW6" s="1" t="str">
        <f>IFERROR(IF($Z6&gt;$E$12,"",IF($E$5="Uniform Inputs",INDEX($D$45:$E$53,MATCH($CU$3,$B$45:$B$53,0),MATCH(CW$4,$D$44:$E$44,0)),IF(DB6=0,"",DB6))),"")</f>
        <v/>
      </c>
      <c r="CX6" s="1" t="str">
        <f>IFERROR(IF($Z6&gt;$E$12,"",IF($E$5="Uniform Inputs",INDEX($D$45:$E$53,MATCH($CU$3,$B$45:$B$53,0),MATCH(CX$4,$D$44:$E$44,0)),IF(DC6=0,"",DC6))),"")</f>
        <v/>
      </c>
      <c r="CY6" s="10" t="str">
        <f t="shared" ref="CY6:CY37" ca="1" si="21">IFERROR(IF($E$5="Uniform Inputs",(CP6*(CX6-CW6)+IF(CU6="",0,CU6))/CX6,IF(CP6="",CU6/CX6,(CP6*(CX6-CW6)+IF(CU6="",0,CU6))/CX6)),"")</f>
        <v/>
      </c>
      <c r="CZ6" s="11" t="s">
        <v>22</v>
      </c>
      <c r="DA6" s="168">
        <v>48971</v>
      </c>
      <c r="DB6" s="11" t="s">
        <v>22</v>
      </c>
      <c r="DC6" s="11" t="s">
        <v>22</v>
      </c>
    </row>
    <row r="7" spans="1:107" x14ac:dyDescent="0.25">
      <c r="B7" s="44"/>
      <c r="D7" s="3"/>
      <c r="E7" s="47"/>
      <c r="G7" s="44" t="s">
        <v>19</v>
      </c>
      <c r="H7" s="3"/>
      <c r="I7" s="45">
        <f ca="1">U5</f>
        <v>83125000</v>
      </c>
      <c r="K7" s="6">
        <f t="shared" ref="K7:K70" si="22">Z7</f>
        <v>2</v>
      </c>
      <c r="L7" s="32">
        <v>1000000000</v>
      </c>
      <c r="M7" s="33" t="s">
        <v>106</v>
      </c>
      <c r="O7" s="6">
        <f t="shared" ref="O7:O70" si="23">Z7</f>
        <v>2</v>
      </c>
      <c r="P7" s="35" t="str">
        <f t="shared" ca="1" si="0"/>
        <v>Seed</v>
      </c>
      <c r="Q7" s="102">
        <f t="shared" ca="1" si="1"/>
        <v>0.18181818181818182</v>
      </c>
      <c r="R7" s="102">
        <f t="shared" ca="1" si="2"/>
        <v>8.8812782675071408E-2</v>
      </c>
      <c r="S7" s="112">
        <f t="shared" ref="S7:S70" si="24">IF($E$5="Uniform Inputs",AB7,IF(P7=$AA$3,AB7,IF(P7=$AJ$3,AK7,IF(P7=$AS$3,AT7,IF(P7=$BB$3,BC7,IF(P7=$BK$3,BL7,""))))))</f>
        <v>44621</v>
      </c>
      <c r="T7" s="112">
        <f t="shared" ca="1" si="3"/>
        <v>48453.5</v>
      </c>
      <c r="U7" s="1">
        <f t="shared" ref="U7:U70" ca="1" si="25">IF(SUM(AA7,AJ7,AS7,BB7,BK7,BT7,CC7,CL7)&gt;0,SUM(AA7,AJ7,AS7,BB7,BK7,BT7,CC7,CL7),"")</f>
        <v>5570454.5454545468</v>
      </c>
      <c r="V7" s="1">
        <f t="shared" ca="1" si="4"/>
        <v>88812782.675071403</v>
      </c>
      <c r="W7" s="34">
        <f t="shared" ref="W7:W70" ca="1" si="26">IFERROR(V7/U7,"")</f>
        <v>15.943543197483235</v>
      </c>
      <c r="Y7" s="2">
        <v>2</v>
      </c>
      <c r="Z7" s="6">
        <f t="shared" ref="Z7:Z70" si="27">IF(Y7&gt;$E$12,"",Y7)</f>
        <v>2</v>
      </c>
      <c r="AA7" s="139">
        <f ca="1">IF($E$5="Uniform Inputs",IF($Z7&gt;$E$12,"",MIN($E$21,($I$5+'Cash Flows'!$BX$8+INDEX('Cash Flows'!$C$19:$BW$19,1,MATCH(EOMONTH(AB7,MOD(-MONTH(AB7),3)-3),'Cash Flows'!$C$4:$BW$4,0)))/$E$12)),IF(AF7&gt;0,AF7,""))</f>
        <v>2000000</v>
      </c>
      <c r="AB7" s="112">
        <f t="shared" ref="AB7:AB38" si="28">IF($E$5="Uniform Inputs",IF($Z7&gt;$E$12,"",AB6+(30/$E$17)),IF(AG7="","",AG7))</f>
        <v>44621</v>
      </c>
      <c r="AC7" s="139">
        <f>IFERROR(IF($Z7&gt;$E$12,"",IF($E$5="Uniform Inputs",INDEX($D$45:$E$53,MATCH($AA$3,$B$45:$B$53,0),MATCH(AC$4,$D$44:$E$44,0)),IF(AH7=0,"",AH7))),"")</f>
        <v>3000000</v>
      </c>
      <c r="AD7" s="139">
        <f>IFERROR(IF($Z7&gt;$E$12,"",IF($E$5="Uniform Inputs",INDEX($D$45:$E$53,MATCH($AA$3,$B$45:$B$53,0),MATCH(AD$4,$D$44:$E$44,0)),IF(AI7=0,"",AI7))),"")</f>
        <v>11000000</v>
      </c>
      <c r="AE7" s="10">
        <f t="shared" ref="AE7:AE70" ca="1" si="29">IFERROR(AA7/AD7,"")</f>
        <v>0.18181818181818182</v>
      </c>
      <c r="AF7" s="11">
        <v>2000000</v>
      </c>
      <c r="AG7" s="168">
        <v>44621</v>
      </c>
      <c r="AH7" s="11">
        <v>3000000</v>
      </c>
      <c r="AI7" s="11">
        <v>11000000</v>
      </c>
      <c r="AJ7" s="139">
        <f ca="1">IF($E$5="Uniform Inputs",IF($Z7&gt;$E$13,"",IF($E$23="Pro-Rata",MIN(AL7*AE7,(($I$5+'Cash Flows'!$BX$8+INDEX('Cash Flows'!$C$19:$BW$19,1,MATCH(EOMONTH(AK7,MOD(-MONTH(AK7),3)-3),'Cash Flows'!$C$4:$BW$4,0)))-$AA$5)/$E$13),MIN($E$24,(($I$5+'Cash Flows'!$BX$8+INDEX('Cash Flows'!$C$19:$BW$19,1,MATCH(EOMONTH(AK7,MOD(-MONTH(AK7),3)-3),'Cash Flows'!$C$4:$BW$4,0)))-$AA$5)/$E$13))),IF(AO7=0,"",AO7))</f>
        <v>2181818.1818181816</v>
      </c>
      <c r="AK7" s="112">
        <f t="shared" si="6"/>
        <v>45168.5</v>
      </c>
      <c r="AL7" s="139">
        <f>IFERROR(IF($Z7&gt;$E$12,"",IF($E$5="Uniform Inputs",INDEX($D$45:$E$53,MATCH($AJ$3,$B$45:$B$53,0),MATCH(AL$4,$D$44:$E$44,0)),IF(AQ7=0,"",AQ7))),"")</f>
        <v>12000000</v>
      </c>
      <c r="AM7" s="139">
        <f>IFERROR(IF($Z7&gt;$E$12,"",IF($E$5="Uniform Inputs",INDEX($D$45:$E$53,MATCH($AJ$3,$B$45:$B$53,0),MATCH(AM$4,$D$44:$E$44,0)),IF(AR7=0,"",AR7))),"")</f>
        <v>48000000</v>
      </c>
      <c r="AN7" s="10">
        <f t="shared" ca="1" si="7"/>
        <v>0.1818181818181818</v>
      </c>
      <c r="AO7" s="11">
        <v>2181818.1818181816</v>
      </c>
      <c r="AP7" s="168">
        <v>45168.5</v>
      </c>
      <c r="AQ7" s="11">
        <v>12000000</v>
      </c>
      <c r="AR7" s="11">
        <v>48000000</v>
      </c>
      <c r="AS7" s="139">
        <f ca="1">IF($E$5="Uniform Inputs",IF($Z7&gt;$E$14,"",IF($E$23="Pro-Rata",MIN(AU7*AN7,(($I$5+'Cash Flows'!$BX$8+INDEX('Cash Flows'!$C$19:$BW$19,1,MATCH(EOMONTH(AT7,MOD(-MONTH(AT7),3)-3),'Cash Flows'!$C$4:$BW$4,0)))-SUM($AJ$5,$AA$5))/$E$14),MIN($E$25,(($I$5+'Cash Flows'!$BX$8+INDEX('Cash Flows'!$C$19:$BW$19,1,MATCH(EOMONTH(AT7,MOD(-MONTH(AT7),3)-3),'Cash Flows'!$C$4:$BW$4,0)))-SUM($AJ$5,$AA$5))/$E$14))),IF(AX7=0,"",AX7))</f>
        <v>1388636.3636363656</v>
      </c>
      <c r="AT7" s="112">
        <f t="shared" si="8"/>
        <v>45716</v>
      </c>
      <c r="AU7" s="139">
        <f>IFERROR(IF($Z7&gt;$E$12,"",IF($E$5="Uniform Inputs",INDEX($D$45:$E$53,MATCH($AS$3,$B$45:$B$53,0),MATCH(AU$4,$D$44:$E$44,0)),IF(AZ7=0,"",AZ7))),"")</f>
        <v>31000000</v>
      </c>
      <c r="AV7" s="139">
        <f>IFERROR(IF($Z7&gt;$E$12,"",IF($E$5="Uniform Inputs",INDEX($D$45:$E$53,MATCH($AS$3,$B$45:$B$53,0),MATCH(AV$4,$D$44:$E$44,0)),IF(BA7=0,"",BA7))),"")</f>
        <v>142000000</v>
      </c>
      <c r="AW7" s="10">
        <f t="shared" ca="1" si="9"/>
        <v>0.15190460947503201</v>
      </c>
      <c r="AX7" s="11">
        <v>1588636.3636363656</v>
      </c>
      <c r="AY7" s="168">
        <v>45716</v>
      </c>
      <c r="AZ7" s="11">
        <v>31000000</v>
      </c>
      <c r="BA7" s="11">
        <v>142000000</v>
      </c>
      <c r="BB7" s="139" t="str">
        <f>IF($E$5="Uniform Inputs",IF($Z7&gt;$E$15,"",IF($E$23="Pro-Rata",MIN(BD7*AW7,(($I$5+'Cash Flows'!$BX$8+INDEX('Cash Flows'!$C$19:$BW$19,1,MATCH(EOMONTH(BC7,MOD(-MONTH(BC7),3)-3),'Cash Flows'!$C$4:$BW$4,0)))-SUM($AS$5,$AJ$5,$AA$5))/$E$15),MIN($E$26,(($I$5+'Cash Flows'!$BX$8+INDEX('Cash Flows'!$C$19:$BW$19,1,MATCH(EOMONTH(BC7,MOD(-MONTH(BC7),3)-3),'Cash Flows'!$C$4:$BW$4,0)))-SUM($AS$5,$AJ$5,$AA$5))/$E$15))),IF(BG7=0,"",BG7))</f>
        <v/>
      </c>
      <c r="BC7" s="112">
        <f t="shared" si="10"/>
        <v>46263.5</v>
      </c>
      <c r="BD7" s="139">
        <f>IFERROR(IF($Z7&gt;$E$12,"",IF($E$5="Uniform Inputs",INDEX($D$45:$E$53,MATCH($BB$3,$B$45:$B$53,0),MATCH(BD$4,$D$44:$E$44,0)),IF(BI7=0,"",BI7))),"")</f>
        <v>70000000</v>
      </c>
      <c r="BE7" s="139">
        <f>IFERROR(IF($Z7&gt;$E$12,"",IF($E$5="Uniform Inputs",INDEX($D$45:$E$53,MATCH($BB$3,$B$45:$B$53,0),MATCH(BE$4,$D$44:$E$44,0)),IF(BJ7=0,"",BJ7))),"")</f>
        <v>375000000</v>
      </c>
      <c r="BF7" s="10">
        <f t="shared" ca="1" si="11"/>
        <v>0.12354908237302603</v>
      </c>
      <c r="BG7" s="11" t="s">
        <v>22</v>
      </c>
      <c r="BH7" s="168">
        <v>46263.5</v>
      </c>
      <c r="BI7" s="11">
        <v>70000000</v>
      </c>
      <c r="BJ7" s="11">
        <v>375000000</v>
      </c>
      <c r="BK7" s="139" t="str">
        <f>IF($E$5="Uniform Inputs",IF($Z7&gt;$E$16,"",IF($E$23="Pro-Rata",MIN(BM7*BF7,(($I$5+'Cash Flows'!$BX$8+INDEX('Cash Flows'!$C$19:$BW$19,1,MATCH(EOMONTH(BL7,MOD(-MONTH(BL7),3)-3),'Cash Flows'!$C$4:$BW$4,0)))-SUM($BB$5,$AS$5,$AJ$5,$AA$5))/$E$16),MIN($E$27,(($I$5+'Cash Flows'!$BX$8+INDEX('Cash Flows'!$C$19:$BW$19,1,MATCH(EOMONTH(BL7,MOD(-MONTH(BL7),3)-3),'Cash Flows'!$C$4:$BW$4,0)))-SUM($BB$5,$AS$5,$AJ$5,$AA$5))/$E$16))),IF(BP7=0,"",BP7))</f>
        <v/>
      </c>
      <c r="BL7" s="112">
        <f t="shared" si="12"/>
        <v>46811</v>
      </c>
      <c r="BM7" s="139">
        <f>IFERROR(IF($Z7&gt;$E$12,"",IF($E$5="Uniform Inputs",INDEX($D$45:$E$53,MATCH($BK$3,$B$45:$B$53,0),MATCH(BM$4,$D$44:$E$44,0)),IF(BR7=0,"",BR7))),"")</f>
        <v>110000000</v>
      </c>
      <c r="BN7" s="139">
        <f>IFERROR(IF($Z7&gt;$E$12,"",IF($E$5="Uniform Inputs",INDEX($D$45:$E$53,MATCH($BK$3,$B$45:$B$53,0),MATCH(BN$4,$D$44:$E$44,0)),IF(BS7=0,"",BS7))),"")</f>
        <v>1000000000</v>
      </c>
      <c r="BO7" s="10">
        <f t="shared" ca="1" si="13"/>
        <v>0.10995868331199317</v>
      </c>
      <c r="BP7" s="11" t="s">
        <v>22</v>
      </c>
      <c r="BQ7" s="168">
        <v>46811</v>
      </c>
      <c r="BR7" s="11">
        <v>110000000</v>
      </c>
      <c r="BS7" s="11">
        <v>1000000000</v>
      </c>
      <c r="BT7" s="139" t="str">
        <f t="shared" ref="BT7:BT70" si="30">IF($E$5="Uniform Inputs","",IF(BY7&gt;0,IF(BY7=0,"",BY7),""))</f>
        <v/>
      </c>
      <c r="BU7" s="112">
        <f t="shared" si="14"/>
        <v>47358.5</v>
      </c>
      <c r="BV7" s="139">
        <f>IFERROR(IF($Z7&gt;$E$12,"",IF($E$5="Uniform Inputs",INDEX($D$45:$E$53,MATCH($BT$3,$B$45:$B$53,0),MATCH(BV$4,$D$44:$E$44,0)),IF(CA7=0,"",CA7))),"")</f>
        <v>150000000</v>
      </c>
      <c r="BW7" s="139">
        <f>IFERROR(IF($Z7&gt;$E$12,"",IF($E$5="Uniform Inputs",INDEX($D$45:$E$53,MATCH($BT$3,$B$45:$B$53,0),MATCH(BW$4,$D$44:$E$44,0)),IF(CB7=0,"",CB7))),"")</f>
        <v>1300000000</v>
      </c>
      <c r="BX7" s="10">
        <f t="shared" ca="1" si="15"/>
        <v>9.7271142929840113E-2</v>
      </c>
      <c r="BY7" s="11" t="s">
        <v>22</v>
      </c>
      <c r="BZ7" s="168">
        <v>47358.5</v>
      </c>
      <c r="CA7" s="11">
        <v>150000000</v>
      </c>
      <c r="CB7" s="11">
        <v>1300000000</v>
      </c>
      <c r="CC7" s="139" t="str">
        <f t="shared" ref="CC7:CC70" si="31">IF($E$5="Uniform Inputs","",IF(CH7&gt;0,IF(CH7=0,"",CH7),""))</f>
        <v/>
      </c>
      <c r="CD7" s="112">
        <f t="shared" si="16"/>
        <v>47906</v>
      </c>
      <c r="CE7" s="139">
        <f>IFERROR(IF($Z7&gt;$E$12,"",IF($E$5="Uniform Inputs",INDEX($D$45:$E$53,MATCH($CC$3,$B$45:$B$53,0),MATCH(CE$4,$D$44:$E$44,0)),IF(CJ7=0,"",CJ7))),"")</f>
        <v>200000000</v>
      </c>
      <c r="CF7" s="139">
        <f>IFERROR(IF($Z7&gt;$E$12,"",IF($E$5="Uniform Inputs",INDEX($D$45:$E$53,MATCH($CC$3,$B$45:$B$53,0),MATCH(CF$4,$D$44:$E$44,0)),IF(CK7=0,"",CK7))),"")</f>
        <v>2300000000</v>
      </c>
      <c r="CG7" s="10">
        <f t="shared" ca="1" si="17"/>
        <v>8.8812782675071408E-2</v>
      </c>
      <c r="CH7" s="11" t="s">
        <v>22</v>
      </c>
      <c r="CI7" s="168">
        <v>47906</v>
      </c>
      <c r="CJ7" s="11">
        <v>200000000</v>
      </c>
      <c r="CK7" s="11">
        <v>2300000000</v>
      </c>
      <c r="CL7" s="139" t="str">
        <f t="shared" ref="CL7:CL70" si="32">IF($E$5="Uniform Inputs","",IF(CQ7&gt;0,IF(CQ7=0,"",CQ7),""))</f>
        <v/>
      </c>
      <c r="CM7" s="112">
        <f t="shared" si="18"/>
        <v>48453.5</v>
      </c>
      <c r="CN7" s="139">
        <f>IFERROR(IF($Z7&gt;$E$12,"",IF($E$5="Uniform Inputs",INDEX($D$45:$E$53,MATCH($CL$3,$B$45:$B$53,0),MATCH(CN$4,$D$44:$E$44,0)),IF(CS7=0,"",CS7))),"")</f>
        <v>275000000</v>
      </c>
      <c r="CO7" s="139">
        <f>IFERROR(IF($Z7&gt;$E$12,"",IF($E$5="Uniform Inputs",INDEX($D$45:$E$53,MATCH($CL$3,$B$45:$B$53,0),MATCH(CO$4,$D$44:$E$44,0)),IF(CT7=0,"",CT7))),"")</f>
        <v>3000000000</v>
      </c>
      <c r="CP7" s="10">
        <f t="shared" ca="1" si="19"/>
        <v>8.067161092985653E-2</v>
      </c>
      <c r="CQ7" s="11" t="s">
        <v>22</v>
      </c>
      <c r="CR7" s="168">
        <v>48453.5</v>
      </c>
      <c r="CS7" s="11">
        <v>275000000</v>
      </c>
      <c r="CT7" s="11">
        <v>3000000000</v>
      </c>
      <c r="CU7" s="139" t="str">
        <f t="shared" ref="CU7:CU70" si="33">IF($E$5="Uniform Inputs","",IF(CZ7&gt;0,IF(CZ7=0,"",CZ7),""))</f>
        <v/>
      </c>
      <c r="CV7" s="112">
        <f t="shared" si="20"/>
        <v>49001</v>
      </c>
      <c r="CW7" s="139" t="str">
        <f>IFERROR(IF($Z7&gt;$E$12,"",IF($E$5="Uniform Inputs",INDEX($D$45:$E$53,MATCH($CU$3,$B$45:$B$53,0),MATCH(CW$4,$D$44:$E$44,0)),IF(DB7=0,"",DB7))),"")</f>
        <v/>
      </c>
      <c r="CX7" s="139" t="str">
        <f>IFERROR(IF($Z7&gt;$E$12,"",IF($E$5="Uniform Inputs",INDEX($D$45:$E$53,MATCH($CU$3,$B$45:$B$53,0),MATCH(CX$4,$D$44:$E$44,0)),IF(DC7=0,"",DC7))),"")</f>
        <v/>
      </c>
      <c r="CY7" s="10" t="str">
        <f t="shared" ca="1" si="21"/>
        <v/>
      </c>
      <c r="CZ7" s="11" t="s">
        <v>22</v>
      </c>
      <c r="DA7" s="168">
        <v>49001</v>
      </c>
      <c r="DB7" s="11" t="s">
        <v>22</v>
      </c>
      <c r="DC7" s="11" t="s">
        <v>22</v>
      </c>
    </row>
    <row r="8" spans="1:107" x14ac:dyDescent="0.25">
      <c r="B8" s="121" t="s">
        <v>82</v>
      </c>
      <c r="C8" s="117"/>
      <c r="D8" s="117"/>
      <c r="E8" s="118"/>
      <c r="G8" s="43" t="s">
        <v>59</v>
      </c>
      <c r="H8" s="86"/>
      <c r="I8" s="45" cm="1">
        <f t="array" aca="1" ref="I8" ca="1">SUMPRODUCT(--(AJ6:AJ105&lt;&gt;""),AE6:AE105,AL6:AL105)-SUM(AJ6:AJ105)+SUMPRODUCT(--(AS6:AS105&lt;&gt;""),AN6:AN105,AU6:AU105)-SUM(AS6:AS105)+SUMPRODUCT(--(BB6:BB105&lt;&gt;""),AW6:AW105,BD6:BD105)-SUM(BB6:BB105)+SUMPRODUCT(--(BK6:BK105&lt;&gt;""),BF6:BF105,BM6:BM105)-SUM(BK6:BK105)</f>
        <v>21238636.363636352</v>
      </c>
      <c r="K8" s="6">
        <f t="shared" si="22"/>
        <v>3</v>
      </c>
      <c r="L8" s="32">
        <v>500000000</v>
      </c>
      <c r="M8" s="33" t="s">
        <v>9</v>
      </c>
      <c r="O8" s="6">
        <f t="shared" si="23"/>
        <v>3</v>
      </c>
      <c r="P8" s="35" t="str">
        <f t="shared" ca="1" si="0"/>
        <v>Seed</v>
      </c>
      <c r="Q8" s="102">
        <f t="shared" ca="1" si="1"/>
        <v>0.18181818181818182</v>
      </c>
      <c r="R8" s="102">
        <f t="shared" ca="1" si="2"/>
        <v>0.10995868331199317</v>
      </c>
      <c r="S8" s="112">
        <f t="shared" si="24"/>
        <v>44651</v>
      </c>
      <c r="T8" s="112">
        <f t="shared" ca="1" si="3"/>
        <v>47388.5</v>
      </c>
      <c r="U8" s="1">
        <f t="shared" ca="1" si="25"/>
        <v>5570454.5454545468</v>
      </c>
      <c r="V8" s="1">
        <f t="shared" ca="1" si="4"/>
        <v>54979341.655996583</v>
      </c>
      <c r="W8" s="34">
        <f t="shared" ca="1" si="26"/>
        <v>9.8698124555848601</v>
      </c>
      <c r="Y8" s="2">
        <v>3</v>
      </c>
      <c r="Z8" s="6">
        <f t="shared" si="27"/>
        <v>3</v>
      </c>
      <c r="AA8" s="139">
        <f ca="1">IF($E$5="Uniform Inputs",IF($Z8&gt;$E$12,"",MIN($E$21,($I$5+'Cash Flows'!$BX$8+INDEX('Cash Flows'!$C$19:$BW$19,1,MATCH(EOMONTH(AB8,MOD(-MONTH(AB8),3)-3),'Cash Flows'!$C$4:$BW$4,0)))/$E$12)),IF(AF8&gt;0,AF8,""))</f>
        <v>2000000</v>
      </c>
      <c r="AB8" s="112">
        <f t="shared" si="28"/>
        <v>44651</v>
      </c>
      <c r="AC8" s="139">
        <f>IFERROR(IF($Z8&gt;$E$12,"",IF($E$5="Uniform Inputs",INDEX($D$45:$E$53,MATCH($AA$3,$B$45:$B$53,0),MATCH(AC$4,$D$44:$E$44,0)),IF(AH8=0,"",AH8))),"")</f>
        <v>3000000</v>
      </c>
      <c r="AD8" s="139">
        <f>IFERROR(IF($Z8&gt;$E$12,"",IF($E$5="Uniform Inputs",INDEX($D$45:$E$53,MATCH($AA$3,$B$45:$B$53,0),MATCH(AD$4,$D$44:$E$44,0)),IF(AI8=0,"",AI8))),"")</f>
        <v>11000000</v>
      </c>
      <c r="AE8" s="10">
        <f t="shared" ca="1" si="29"/>
        <v>0.18181818181818182</v>
      </c>
      <c r="AF8" s="11">
        <v>2000000</v>
      </c>
      <c r="AG8" s="168">
        <v>44651</v>
      </c>
      <c r="AH8" s="11">
        <v>3000000</v>
      </c>
      <c r="AI8" s="11">
        <v>11000000</v>
      </c>
      <c r="AJ8" s="139">
        <f ca="1">IF($E$5="Uniform Inputs",IF($Z8&gt;$E$13,"",IF($E$23="Pro-Rata",MIN(AL8*AE8,(($I$5+'Cash Flows'!$BX$8+INDEX('Cash Flows'!$C$19:$BW$19,1,MATCH(EOMONTH(AK8,MOD(-MONTH(AK8),3)-3),'Cash Flows'!$C$4:$BW$4,0)))-$AA$5)/$E$13),MIN($E$24,(($I$5+'Cash Flows'!$BX$8+INDEX('Cash Flows'!$C$19:$BW$19,1,MATCH(EOMONTH(AK8,MOD(-MONTH(AK8),3)-3),'Cash Flows'!$C$4:$BW$4,0)))-$AA$5)/$E$13))),IF(AO8=0,"",AO8))</f>
        <v>2181818.1818181816</v>
      </c>
      <c r="AK8" s="112">
        <f t="shared" si="6"/>
        <v>45198.5</v>
      </c>
      <c r="AL8" s="139">
        <f>IFERROR(IF($Z8&gt;$E$12,"",IF($E$5="Uniform Inputs",INDEX($D$45:$E$53,MATCH($AJ$3,$B$45:$B$53,0),MATCH(AL$4,$D$44:$E$44,0)),IF(AQ8=0,"",AQ8))),"")</f>
        <v>12000000</v>
      </c>
      <c r="AM8" s="139">
        <f>IFERROR(IF($Z8&gt;$E$12,"",IF($E$5="Uniform Inputs",INDEX($D$45:$E$53,MATCH($AJ$3,$B$45:$B$53,0),MATCH(AM$4,$D$44:$E$44,0)),IF(AR8=0,"",AR8))),"")</f>
        <v>48000000</v>
      </c>
      <c r="AN8" s="10">
        <f t="shared" ca="1" si="7"/>
        <v>0.1818181818181818</v>
      </c>
      <c r="AO8" s="11">
        <v>2181818.1818181816</v>
      </c>
      <c r="AP8" s="168">
        <v>45198.5</v>
      </c>
      <c r="AQ8" s="11">
        <v>12000000</v>
      </c>
      <c r="AR8" s="11">
        <v>48000000</v>
      </c>
      <c r="AS8" s="139">
        <f ca="1">IF($E$5="Uniform Inputs",IF($Z8&gt;$E$14,"",IF($E$23="Pro-Rata",MIN(AU8*AN8,(($I$5+'Cash Flows'!$BX$8+INDEX('Cash Flows'!$C$19:$BW$19,1,MATCH(EOMONTH(AT8,MOD(-MONTH(AT8),3)-3),'Cash Flows'!$C$4:$BW$4,0)))-SUM($AJ$5,$AA$5))/$E$14),MIN($E$25,(($I$5+'Cash Flows'!$BX$8+INDEX('Cash Flows'!$C$19:$BW$19,1,MATCH(EOMONTH(AT8,MOD(-MONTH(AT8),3)-3),'Cash Flows'!$C$4:$BW$4,0)))-SUM($AJ$5,$AA$5))/$E$14))),IF(AX8=0,"",AX8))</f>
        <v>1388636.3636363656</v>
      </c>
      <c r="AT8" s="112">
        <f t="shared" si="8"/>
        <v>45746</v>
      </c>
      <c r="AU8" s="139">
        <f>IFERROR(IF($Z8&gt;$E$12,"",IF($E$5="Uniform Inputs",INDEX($D$45:$E$53,MATCH($AS$3,$B$45:$B$53,0),MATCH(AU$4,$D$44:$E$44,0)),IF(AZ8=0,"",AZ8))),"")</f>
        <v>31000000</v>
      </c>
      <c r="AV8" s="139">
        <f>IFERROR(IF($Z8&gt;$E$12,"",IF($E$5="Uniform Inputs",INDEX($D$45:$E$53,MATCH($AS$3,$B$45:$B$53,0),MATCH(AV$4,$D$44:$E$44,0)),IF(BA8=0,"",BA8))),"")</f>
        <v>142000000</v>
      </c>
      <c r="AW8" s="10">
        <f t="shared" ca="1" si="9"/>
        <v>0.15190460947503201</v>
      </c>
      <c r="AX8" s="11">
        <v>1588636.3636363656</v>
      </c>
      <c r="AY8" s="168">
        <v>45746</v>
      </c>
      <c r="AZ8" s="11">
        <v>31000000</v>
      </c>
      <c r="BA8" s="11">
        <v>142000000</v>
      </c>
      <c r="BB8" s="139" t="str">
        <f>IF($E$5="Uniform Inputs",IF($Z8&gt;$E$15,"",IF($E$23="Pro-Rata",MIN(BD8*AW8,(($I$5+'Cash Flows'!$BX$8+INDEX('Cash Flows'!$C$19:$BW$19,1,MATCH(EOMONTH(BC8,MOD(-MONTH(BC8),3)-3),'Cash Flows'!$C$4:$BW$4,0)))-SUM($AS$5,$AJ$5,$AA$5))/$E$15),MIN($E$26,(($I$5+'Cash Flows'!$BX$8+INDEX('Cash Flows'!$C$19:$BW$19,1,MATCH(EOMONTH(BC8,MOD(-MONTH(BC8),3)-3),'Cash Flows'!$C$4:$BW$4,0)))-SUM($AS$5,$AJ$5,$AA$5))/$E$15))),IF(BG8=0,"",BG8))</f>
        <v/>
      </c>
      <c r="BC8" s="112">
        <f t="shared" si="10"/>
        <v>46293.5</v>
      </c>
      <c r="BD8" s="139">
        <f>IFERROR(IF($Z8&gt;$E$12,"",IF($E$5="Uniform Inputs",INDEX($D$45:$E$53,MATCH($BB$3,$B$45:$B$53,0),MATCH(BD$4,$D$44:$E$44,0)),IF(BI8=0,"",BI8))),"")</f>
        <v>70000000</v>
      </c>
      <c r="BE8" s="139">
        <f>IFERROR(IF($Z8&gt;$E$12,"",IF($E$5="Uniform Inputs",INDEX($D$45:$E$53,MATCH($BB$3,$B$45:$B$53,0),MATCH(BE$4,$D$44:$E$44,0)),IF(BJ8=0,"",BJ8))),"")</f>
        <v>375000000</v>
      </c>
      <c r="BF8" s="10">
        <f t="shared" ca="1" si="11"/>
        <v>0.12354908237302603</v>
      </c>
      <c r="BG8" s="11" t="s">
        <v>22</v>
      </c>
      <c r="BH8" s="168">
        <v>46293.5</v>
      </c>
      <c r="BI8" s="11">
        <v>70000000</v>
      </c>
      <c r="BJ8" s="11">
        <v>375000000</v>
      </c>
      <c r="BK8" s="139" t="str">
        <f>IF($E$5="Uniform Inputs",IF($Z8&gt;$E$16,"",IF($E$23="Pro-Rata",MIN(BM8*BF8,(($I$5+'Cash Flows'!$BX$8+INDEX('Cash Flows'!$C$19:$BW$19,1,MATCH(EOMONTH(BL8,MOD(-MONTH(BL8),3)-3),'Cash Flows'!$C$4:$BW$4,0)))-SUM($BB$5,$AS$5,$AJ$5,$AA$5))/$E$16),MIN($E$27,(($I$5+'Cash Flows'!$BX$8+INDEX('Cash Flows'!$C$19:$BW$19,1,MATCH(EOMONTH(BL8,MOD(-MONTH(BL8),3)-3),'Cash Flows'!$C$4:$BW$4,0)))-SUM($BB$5,$AS$5,$AJ$5,$AA$5))/$E$16))),IF(BP8=0,"",BP8))</f>
        <v/>
      </c>
      <c r="BL8" s="112">
        <f t="shared" si="12"/>
        <v>46841</v>
      </c>
      <c r="BM8" s="139">
        <f>IFERROR(IF($Z8&gt;$E$12,"",IF($E$5="Uniform Inputs",INDEX($D$45:$E$53,MATCH($BK$3,$B$45:$B$53,0),MATCH(BM$4,$D$44:$E$44,0)),IF(BR8=0,"",BR8))),"")</f>
        <v>110000000</v>
      </c>
      <c r="BN8" s="139">
        <f>IFERROR(IF($Z8&gt;$E$12,"",IF($E$5="Uniform Inputs",INDEX($D$45:$E$53,MATCH($BK$3,$B$45:$B$53,0),MATCH(BN$4,$D$44:$E$44,0)),IF(BS8=0,"",BS8))),"")</f>
        <v>1000000000</v>
      </c>
      <c r="BO8" s="10">
        <f t="shared" ca="1" si="13"/>
        <v>0.10995868331199317</v>
      </c>
      <c r="BP8" s="11" t="s">
        <v>22</v>
      </c>
      <c r="BQ8" s="168">
        <v>46841</v>
      </c>
      <c r="BR8" s="11">
        <v>110000000</v>
      </c>
      <c r="BS8" s="11">
        <v>1000000000</v>
      </c>
      <c r="BT8" s="139" t="str">
        <f t="shared" si="30"/>
        <v/>
      </c>
      <c r="BU8" s="112">
        <f t="shared" si="14"/>
        <v>47388.5</v>
      </c>
      <c r="BV8" s="139">
        <f>IFERROR(IF($Z8&gt;$E$12,"",IF($E$5="Uniform Inputs",INDEX($D$45:$E$53,MATCH($BT$3,$B$45:$B$53,0),MATCH(BV$4,$D$44:$E$44,0)),IF(CA8=0,"",CA8))),"")</f>
        <v>150000000</v>
      </c>
      <c r="BW8" s="139">
        <f>IFERROR(IF($Z8&gt;$E$12,"",IF($E$5="Uniform Inputs",INDEX($D$45:$E$53,MATCH($BT$3,$B$45:$B$53,0),MATCH(BW$4,$D$44:$E$44,0)),IF(CB8=0,"",CB8))),"")</f>
        <v>1300000000</v>
      </c>
      <c r="BX8" s="10">
        <f t="shared" ca="1" si="15"/>
        <v>9.7271142929840113E-2</v>
      </c>
      <c r="BY8" s="11" t="s">
        <v>22</v>
      </c>
      <c r="BZ8" s="168">
        <v>47388.5</v>
      </c>
      <c r="CA8" s="11">
        <v>150000000</v>
      </c>
      <c r="CB8" s="11">
        <v>1300000000</v>
      </c>
      <c r="CC8" s="139" t="str">
        <f t="shared" si="31"/>
        <v/>
      </c>
      <c r="CD8" s="112">
        <f t="shared" si="16"/>
        <v>47936</v>
      </c>
      <c r="CE8" s="139">
        <f>IFERROR(IF($Z8&gt;$E$12,"",IF($E$5="Uniform Inputs",INDEX($D$45:$E$53,MATCH($CC$3,$B$45:$B$53,0),MATCH(CE$4,$D$44:$E$44,0)),IF(CJ8=0,"",CJ8))),"")</f>
        <v>200000000</v>
      </c>
      <c r="CF8" s="139">
        <f>IFERROR(IF($Z8&gt;$E$12,"",IF($E$5="Uniform Inputs",INDEX($D$45:$E$53,MATCH($CC$3,$B$45:$B$53,0),MATCH(CF$4,$D$44:$E$44,0)),IF(CK8=0,"",CK8))),"")</f>
        <v>2300000000</v>
      </c>
      <c r="CG8" s="10">
        <f t="shared" ca="1" si="17"/>
        <v>8.8812782675071408E-2</v>
      </c>
      <c r="CH8" s="11" t="s">
        <v>22</v>
      </c>
      <c r="CI8" s="168">
        <v>47936</v>
      </c>
      <c r="CJ8" s="11">
        <v>200000000</v>
      </c>
      <c r="CK8" s="11">
        <v>2300000000</v>
      </c>
      <c r="CL8" s="139" t="str">
        <f t="shared" si="32"/>
        <v/>
      </c>
      <c r="CM8" s="112">
        <f t="shared" si="18"/>
        <v>48483.5</v>
      </c>
      <c r="CN8" s="139">
        <f>IFERROR(IF($Z8&gt;$E$12,"",IF($E$5="Uniform Inputs",INDEX($D$45:$E$53,MATCH($CL$3,$B$45:$B$53,0),MATCH(CN$4,$D$44:$E$44,0)),IF(CS8=0,"",CS8))),"")</f>
        <v>275000000</v>
      </c>
      <c r="CO8" s="139">
        <f>IFERROR(IF($Z8&gt;$E$12,"",IF($E$5="Uniform Inputs",INDEX($D$45:$E$53,MATCH($CL$3,$B$45:$B$53,0),MATCH(CO$4,$D$44:$E$44,0)),IF(CT8=0,"",CT8))),"")</f>
        <v>3000000000</v>
      </c>
      <c r="CP8" s="10">
        <f t="shared" ca="1" si="19"/>
        <v>8.067161092985653E-2</v>
      </c>
      <c r="CQ8" s="11" t="s">
        <v>22</v>
      </c>
      <c r="CR8" s="168">
        <v>48483.5</v>
      </c>
      <c r="CS8" s="11">
        <v>275000000</v>
      </c>
      <c r="CT8" s="11">
        <v>3000000000</v>
      </c>
      <c r="CU8" s="139" t="str">
        <f t="shared" si="33"/>
        <v/>
      </c>
      <c r="CV8" s="112">
        <f t="shared" si="20"/>
        <v>49031</v>
      </c>
      <c r="CW8" s="139" t="str">
        <f>IFERROR(IF($Z8&gt;$E$12,"",IF($E$5="Uniform Inputs",INDEX($D$45:$E$53,MATCH($CU$3,$B$45:$B$53,0),MATCH(CW$4,$D$44:$E$44,0)),IF(DB8=0,"",DB8))),"")</f>
        <v/>
      </c>
      <c r="CX8" s="139" t="str">
        <f>IFERROR(IF($Z8&gt;$E$12,"",IF($E$5="Uniform Inputs",INDEX($D$45:$E$53,MATCH($CU$3,$B$45:$B$53,0),MATCH(CX$4,$D$44:$E$44,0)),IF(DC8=0,"",DC8))),"")</f>
        <v/>
      </c>
      <c r="CY8" s="10" t="str">
        <f t="shared" ca="1" si="21"/>
        <v/>
      </c>
      <c r="CZ8" s="11" t="s">
        <v>22</v>
      </c>
      <c r="DA8" s="168">
        <v>49031</v>
      </c>
      <c r="DB8" s="11" t="s">
        <v>22</v>
      </c>
      <c r="DC8" s="11" t="s">
        <v>22</v>
      </c>
    </row>
    <row r="9" spans="1:107" x14ac:dyDescent="0.25">
      <c r="B9" s="116" t="s">
        <v>83</v>
      </c>
      <c r="C9" s="114"/>
      <c r="D9" s="115"/>
      <c r="E9" s="122">
        <v>44561</v>
      </c>
      <c r="G9" s="43" t="s">
        <v>44</v>
      </c>
      <c r="H9" s="86"/>
      <c r="I9" s="46">
        <f ca="1">I7/I5</f>
        <v>0.83125000000000004</v>
      </c>
      <c r="K9" s="6">
        <f t="shared" si="22"/>
        <v>4</v>
      </c>
      <c r="L9" s="32">
        <v>250000000</v>
      </c>
      <c r="M9" s="33" t="s">
        <v>9</v>
      </c>
      <c r="O9" s="6">
        <f t="shared" si="23"/>
        <v>4</v>
      </c>
      <c r="P9" s="35" t="str">
        <f t="shared" ca="1" si="0"/>
        <v>Seed</v>
      </c>
      <c r="Q9" s="102">
        <f t="shared" ca="1" si="1"/>
        <v>0.18181818181818182</v>
      </c>
      <c r="R9" s="102">
        <f t="shared" ca="1" si="2"/>
        <v>0.10995868331199317</v>
      </c>
      <c r="S9" s="112">
        <f t="shared" si="24"/>
        <v>44681</v>
      </c>
      <c r="T9" s="112">
        <f t="shared" ca="1" si="3"/>
        <v>47418.5</v>
      </c>
      <c r="U9" s="1">
        <f t="shared" ca="1" si="25"/>
        <v>5570454.5454545468</v>
      </c>
      <c r="V9" s="1">
        <f t="shared" ca="1" si="4"/>
        <v>27489670.827998292</v>
      </c>
      <c r="W9" s="34">
        <f t="shared" ca="1" si="26"/>
        <v>4.93490622779243</v>
      </c>
      <c r="Y9" s="2">
        <v>4</v>
      </c>
      <c r="Z9" s="6">
        <f t="shared" si="27"/>
        <v>4</v>
      </c>
      <c r="AA9" s="139">
        <f ca="1">IF($E$5="Uniform Inputs",IF($Z9&gt;$E$12,"",MIN($E$21,($I$5+'Cash Flows'!$BX$8+INDEX('Cash Flows'!$C$19:$BW$19,1,MATCH(EOMONTH(AB9,MOD(-MONTH(AB9),3)-3),'Cash Flows'!$C$4:$BW$4,0)))/$E$12)),IF(AF9&gt;0,AF9,""))</f>
        <v>2000000</v>
      </c>
      <c r="AB9" s="112">
        <f t="shared" si="28"/>
        <v>44681</v>
      </c>
      <c r="AC9" s="139">
        <f>IFERROR(IF($Z9&gt;$E$12,"",IF($E$5="Uniform Inputs",INDEX($D$45:$E$53,MATCH($AA$3,$B$45:$B$53,0),MATCH(AC$4,$D$44:$E$44,0)),IF(AH9=0,"",AH9))),"")</f>
        <v>3000000</v>
      </c>
      <c r="AD9" s="139">
        <f>IFERROR(IF($Z9&gt;$E$12,"",IF($E$5="Uniform Inputs",INDEX($D$45:$E$53,MATCH($AA$3,$B$45:$B$53,0),MATCH(AD$4,$D$44:$E$44,0)),IF(AI9=0,"",AI9))),"")</f>
        <v>11000000</v>
      </c>
      <c r="AE9" s="10">
        <f t="shared" ca="1" si="29"/>
        <v>0.18181818181818182</v>
      </c>
      <c r="AF9" s="11">
        <v>2000000</v>
      </c>
      <c r="AG9" s="168">
        <v>44681</v>
      </c>
      <c r="AH9" s="11">
        <v>3000000</v>
      </c>
      <c r="AI9" s="11">
        <v>11000000</v>
      </c>
      <c r="AJ9" s="139">
        <f ca="1">IF($E$5="Uniform Inputs",IF($Z9&gt;$E$13,"",IF($E$23="Pro-Rata",MIN(AL9*AE9,(($I$5+'Cash Flows'!$BX$8+INDEX('Cash Flows'!$C$19:$BW$19,1,MATCH(EOMONTH(AK9,MOD(-MONTH(AK9),3)-3),'Cash Flows'!$C$4:$BW$4,0)))-$AA$5)/$E$13),MIN($E$24,(($I$5+'Cash Flows'!$BX$8+INDEX('Cash Flows'!$C$19:$BW$19,1,MATCH(EOMONTH(AK9,MOD(-MONTH(AK9),3)-3),'Cash Flows'!$C$4:$BW$4,0)))-$AA$5)/$E$13))),IF(AO9=0,"",AO9))</f>
        <v>2181818.1818181816</v>
      </c>
      <c r="AK9" s="112">
        <f t="shared" si="6"/>
        <v>45228.5</v>
      </c>
      <c r="AL9" s="139">
        <f>IFERROR(IF($Z9&gt;$E$12,"",IF($E$5="Uniform Inputs",INDEX($D$45:$E$53,MATCH($AJ$3,$B$45:$B$53,0),MATCH(AL$4,$D$44:$E$44,0)),IF(AQ9=0,"",AQ9))),"")</f>
        <v>12000000</v>
      </c>
      <c r="AM9" s="139">
        <f>IFERROR(IF($Z9&gt;$E$12,"",IF($E$5="Uniform Inputs",INDEX($D$45:$E$53,MATCH($AJ$3,$B$45:$B$53,0),MATCH(AM$4,$D$44:$E$44,0)),IF(AR9=0,"",AR9))),"")</f>
        <v>48000000</v>
      </c>
      <c r="AN9" s="10">
        <f t="shared" ca="1" si="7"/>
        <v>0.1818181818181818</v>
      </c>
      <c r="AO9" s="11">
        <v>2181818.1818181816</v>
      </c>
      <c r="AP9" s="168">
        <v>45228.5</v>
      </c>
      <c r="AQ9" s="11">
        <v>12000000</v>
      </c>
      <c r="AR9" s="11">
        <v>48000000</v>
      </c>
      <c r="AS9" s="139">
        <f ca="1">IF($E$5="Uniform Inputs",IF($Z9&gt;$E$14,"",IF($E$23="Pro-Rata",MIN(AU9*AN9,(($I$5+'Cash Flows'!$BX$8+INDEX('Cash Flows'!$C$19:$BW$19,1,MATCH(EOMONTH(AT9,MOD(-MONTH(AT9),3)-3),'Cash Flows'!$C$4:$BW$4,0)))-SUM($AJ$5,$AA$5))/$E$14),MIN($E$25,(($I$5+'Cash Flows'!$BX$8+INDEX('Cash Flows'!$C$19:$BW$19,1,MATCH(EOMONTH(AT9,MOD(-MONTH(AT9),3)-3),'Cash Flows'!$C$4:$BW$4,0)))-SUM($AJ$5,$AA$5))/$E$14))),IF(AX9=0,"",AX9))</f>
        <v>1388636.3636363656</v>
      </c>
      <c r="AT9" s="112">
        <f t="shared" si="8"/>
        <v>45776</v>
      </c>
      <c r="AU9" s="139">
        <f>IFERROR(IF($Z9&gt;$E$12,"",IF($E$5="Uniform Inputs",INDEX($D$45:$E$53,MATCH($AS$3,$B$45:$B$53,0),MATCH(AU$4,$D$44:$E$44,0)),IF(AZ9=0,"",AZ9))),"")</f>
        <v>31000000</v>
      </c>
      <c r="AV9" s="139">
        <f>IFERROR(IF($Z9&gt;$E$12,"",IF($E$5="Uniform Inputs",INDEX($D$45:$E$53,MATCH($AS$3,$B$45:$B$53,0),MATCH(AV$4,$D$44:$E$44,0)),IF(BA9=0,"",BA9))),"")</f>
        <v>142000000</v>
      </c>
      <c r="AW9" s="10">
        <f t="shared" ca="1" si="9"/>
        <v>0.15190460947503201</v>
      </c>
      <c r="AX9" s="11">
        <v>1588636.3636363656</v>
      </c>
      <c r="AY9" s="168">
        <v>45776</v>
      </c>
      <c r="AZ9" s="11">
        <v>31000000</v>
      </c>
      <c r="BA9" s="11">
        <v>142000000</v>
      </c>
      <c r="BB9" s="139" t="str">
        <f>IF($E$5="Uniform Inputs",IF($Z9&gt;$E$15,"",IF($E$23="Pro-Rata",MIN(BD9*AW9,(($I$5+'Cash Flows'!$BX$8+INDEX('Cash Flows'!$C$19:$BW$19,1,MATCH(EOMONTH(BC9,MOD(-MONTH(BC9),3)-3),'Cash Flows'!$C$4:$BW$4,0)))-SUM($AS$5,$AJ$5,$AA$5))/$E$15),MIN($E$26,(($I$5+'Cash Flows'!$BX$8+INDEX('Cash Flows'!$C$19:$BW$19,1,MATCH(EOMONTH(BC9,MOD(-MONTH(BC9),3)-3),'Cash Flows'!$C$4:$BW$4,0)))-SUM($AS$5,$AJ$5,$AA$5))/$E$15))),IF(BG9=0,"",BG9))</f>
        <v/>
      </c>
      <c r="BC9" s="112">
        <f t="shared" si="10"/>
        <v>46323.5</v>
      </c>
      <c r="BD9" s="139">
        <f>IFERROR(IF($Z9&gt;$E$12,"",IF($E$5="Uniform Inputs",INDEX($D$45:$E$53,MATCH($BB$3,$B$45:$B$53,0),MATCH(BD$4,$D$44:$E$44,0)),IF(BI9=0,"",BI9))),"")</f>
        <v>70000000</v>
      </c>
      <c r="BE9" s="139">
        <f>IFERROR(IF($Z9&gt;$E$12,"",IF($E$5="Uniform Inputs",INDEX($D$45:$E$53,MATCH($BB$3,$B$45:$B$53,0),MATCH(BE$4,$D$44:$E$44,0)),IF(BJ9=0,"",BJ9))),"")</f>
        <v>375000000</v>
      </c>
      <c r="BF9" s="10">
        <f t="shared" ca="1" si="11"/>
        <v>0.12354908237302603</v>
      </c>
      <c r="BG9" s="11" t="s">
        <v>22</v>
      </c>
      <c r="BH9" s="168">
        <v>46323.5</v>
      </c>
      <c r="BI9" s="11">
        <v>70000000</v>
      </c>
      <c r="BJ9" s="11">
        <v>375000000</v>
      </c>
      <c r="BK9" s="139" t="str">
        <f>IF($E$5="Uniform Inputs",IF($Z9&gt;$E$16,"",IF($E$23="Pro-Rata",MIN(BM9*BF9,(($I$5+'Cash Flows'!$BX$8+INDEX('Cash Flows'!$C$19:$BW$19,1,MATCH(EOMONTH(BL9,MOD(-MONTH(BL9),3)-3),'Cash Flows'!$C$4:$BW$4,0)))-SUM($BB$5,$AS$5,$AJ$5,$AA$5))/$E$16),MIN($E$27,(($I$5+'Cash Flows'!$BX$8+INDEX('Cash Flows'!$C$19:$BW$19,1,MATCH(EOMONTH(BL9,MOD(-MONTH(BL9),3)-3),'Cash Flows'!$C$4:$BW$4,0)))-SUM($BB$5,$AS$5,$AJ$5,$AA$5))/$E$16))),IF(BP9=0,"",BP9))</f>
        <v/>
      </c>
      <c r="BL9" s="112">
        <f t="shared" si="12"/>
        <v>46871</v>
      </c>
      <c r="BM9" s="139">
        <f>IFERROR(IF($Z9&gt;$E$12,"",IF($E$5="Uniform Inputs",INDEX($D$45:$E$53,MATCH($BK$3,$B$45:$B$53,0),MATCH(BM$4,$D$44:$E$44,0)),IF(BR9=0,"",BR9))),"")</f>
        <v>110000000</v>
      </c>
      <c r="BN9" s="139">
        <f>IFERROR(IF($Z9&gt;$E$12,"",IF($E$5="Uniform Inputs",INDEX($D$45:$E$53,MATCH($BK$3,$B$45:$B$53,0),MATCH(BN$4,$D$44:$E$44,0)),IF(BS9=0,"",BS9))),"")</f>
        <v>1000000000</v>
      </c>
      <c r="BO9" s="10">
        <f t="shared" ca="1" si="13"/>
        <v>0.10995868331199317</v>
      </c>
      <c r="BP9" s="11" t="s">
        <v>22</v>
      </c>
      <c r="BQ9" s="168">
        <v>46871</v>
      </c>
      <c r="BR9" s="11">
        <v>110000000</v>
      </c>
      <c r="BS9" s="11">
        <v>1000000000</v>
      </c>
      <c r="BT9" s="139" t="str">
        <f t="shared" si="30"/>
        <v/>
      </c>
      <c r="BU9" s="112">
        <f t="shared" si="14"/>
        <v>47418.5</v>
      </c>
      <c r="BV9" s="139">
        <f>IFERROR(IF($Z9&gt;$E$12,"",IF($E$5="Uniform Inputs",INDEX($D$45:$E$53,MATCH($BT$3,$B$45:$B$53,0),MATCH(BV$4,$D$44:$E$44,0)),IF(CA9=0,"",CA9))),"")</f>
        <v>150000000</v>
      </c>
      <c r="BW9" s="139">
        <f>IFERROR(IF($Z9&gt;$E$12,"",IF($E$5="Uniform Inputs",INDEX($D$45:$E$53,MATCH($BT$3,$B$45:$B$53,0),MATCH(BW$4,$D$44:$E$44,0)),IF(CB9=0,"",CB9))),"")</f>
        <v>1300000000</v>
      </c>
      <c r="BX9" s="10">
        <f t="shared" ca="1" si="15"/>
        <v>9.7271142929840113E-2</v>
      </c>
      <c r="BY9" s="11" t="s">
        <v>22</v>
      </c>
      <c r="BZ9" s="168">
        <v>47418.5</v>
      </c>
      <c r="CA9" s="11">
        <v>150000000</v>
      </c>
      <c r="CB9" s="11">
        <v>1300000000</v>
      </c>
      <c r="CC9" s="139" t="str">
        <f t="shared" si="31"/>
        <v/>
      </c>
      <c r="CD9" s="112">
        <f t="shared" si="16"/>
        <v>47966</v>
      </c>
      <c r="CE9" s="139">
        <f>IFERROR(IF($Z9&gt;$E$12,"",IF($E$5="Uniform Inputs",INDEX($D$45:$E$53,MATCH($CC$3,$B$45:$B$53,0),MATCH(CE$4,$D$44:$E$44,0)),IF(CJ9=0,"",CJ9))),"")</f>
        <v>200000000</v>
      </c>
      <c r="CF9" s="139">
        <f>IFERROR(IF($Z9&gt;$E$12,"",IF($E$5="Uniform Inputs",INDEX($D$45:$E$53,MATCH($CC$3,$B$45:$B$53,0),MATCH(CF$4,$D$44:$E$44,0)),IF(CK9=0,"",CK9))),"")</f>
        <v>2300000000</v>
      </c>
      <c r="CG9" s="10">
        <f t="shared" ca="1" si="17"/>
        <v>8.8812782675071408E-2</v>
      </c>
      <c r="CH9" s="11" t="s">
        <v>22</v>
      </c>
      <c r="CI9" s="168">
        <v>47966</v>
      </c>
      <c r="CJ9" s="11">
        <v>200000000</v>
      </c>
      <c r="CK9" s="11">
        <v>2300000000</v>
      </c>
      <c r="CL9" s="139" t="str">
        <f t="shared" si="32"/>
        <v/>
      </c>
      <c r="CM9" s="112">
        <f t="shared" si="18"/>
        <v>48513.5</v>
      </c>
      <c r="CN9" s="139">
        <f>IFERROR(IF($Z9&gt;$E$12,"",IF($E$5="Uniform Inputs",INDEX($D$45:$E$53,MATCH($CL$3,$B$45:$B$53,0),MATCH(CN$4,$D$44:$E$44,0)),IF(CS9=0,"",CS9))),"")</f>
        <v>275000000</v>
      </c>
      <c r="CO9" s="139">
        <f>IFERROR(IF($Z9&gt;$E$12,"",IF($E$5="Uniform Inputs",INDEX($D$45:$E$53,MATCH($CL$3,$B$45:$B$53,0),MATCH(CO$4,$D$44:$E$44,0)),IF(CT9=0,"",CT9))),"")</f>
        <v>3000000000</v>
      </c>
      <c r="CP9" s="10">
        <f t="shared" ca="1" si="19"/>
        <v>8.067161092985653E-2</v>
      </c>
      <c r="CQ9" s="11" t="s">
        <v>22</v>
      </c>
      <c r="CR9" s="168">
        <v>48513.5</v>
      </c>
      <c r="CS9" s="11">
        <v>275000000</v>
      </c>
      <c r="CT9" s="11">
        <v>3000000000</v>
      </c>
      <c r="CU9" s="139" t="str">
        <f t="shared" si="33"/>
        <v/>
      </c>
      <c r="CV9" s="112">
        <f t="shared" si="20"/>
        <v>49061</v>
      </c>
      <c r="CW9" s="139" t="str">
        <f>IFERROR(IF($Z9&gt;$E$12,"",IF($E$5="Uniform Inputs",INDEX($D$45:$E$53,MATCH($CU$3,$B$45:$B$53,0),MATCH(CW$4,$D$44:$E$44,0)),IF(DB9=0,"",DB9))),"")</f>
        <v/>
      </c>
      <c r="CX9" s="139" t="str">
        <f>IFERROR(IF($Z9&gt;$E$12,"",IF($E$5="Uniform Inputs",INDEX($D$45:$E$53,MATCH($CU$3,$B$45:$B$53,0),MATCH(CX$4,$D$44:$E$44,0)),IF(DC9=0,"",DC9))),"")</f>
        <v/>
      </c>
      <c r="CY9" s="10" t="str">
        <f t="shared" ca="1" si="21"/>
        <v/>
      </c>
      <c r="CZ9" s="11" t="s">
        <v>22</v>
      </c>
      <c r="DA9" s="168">
        <v>49061</v>
      </c>
      <c r="DB9" s="11" t="s">
        <v>22</v>
      </c>
      <c r="DC9" s="11" t="s">
        <v>22</v>
      </c>
    </row>
    <row r="10" spans="1:107" x14ac:dyDescent="0.25">
      <c r="B10" s="116" t="s">
        <v>84</v>
      </c>
      <c r="C10" s="114"/>
      <c r="D10" s="115"/>
      <c r="E10" s="119">
        <v>100000000</v>
      </c>
      <c r="G10" s="43" t="s">
        <v>75</v>
      </c>
      <c r="H10" s="86"/>
      <c r="I10" s="97">
        <f>IF($E$5="Uniform Inputs",E12/E17,"N/A")</f>
        <v>25</v>
      </c>
      <c r="K10" s="6">
        <f t="shared" si="22"/>
        <v>5</v>
      </c>
      <c r="L10" s="32">
        <v>200000000</v>
      </c>
      <c r="M10" s="141" t="s">
        <v>9</v>
      </c>
      <c r="O10" s="6">
        <f t="shared" si="23"/>
        <v>5</v>
      </c>
      <c r="P10" s="35" t="str">
        <f t="shared" ca="1" si="0"/>
        <v>Seed</v>
      </c>
      <c r="Q10" s="102">
        <f t="shared" ca="1" si="1"/>
        <v>0.18181818181818182</v>
      </c>
      <c r="R10" s="102">
        <f t="shared" ca="1" si="2"/>
        <v>0.10995868331199317</v>
      </c>
      <c r="S10" s="112">
        <f t="shared" si="24"/>
        <v>44711</v>
      </c>
      <c r="T10" s="112">
        <f t="shared" ca="1" si="3"/>
        <v>47448.5</v>
      </c>
      <c r="U10" s="1">
        <f t="shared" ca="1" si="25"/>
        <v>5570454.5454545468</v>
      </c>
      <c r="V10" s="1">
        <f t="shared" ca="1" si="4"/>
        <v>21991736.662398633</v>
      </c>
      <c r="W10" s="34">
        <f t="shared" ca="1" si="26"/>
        <v>3.9479249822339435</v>
      </c>
      <c r="Y10" s="2">
        <v>5</v>
      </c>
      <c r="Z10" s="6">
        <f t="shared" si="27"/>
        <v>5</v>
      </c>
      <c r="AA10" s="139">
        <f ca="1">IF($E$5="Uniform Inputs",IF($Z10&gt;$E$12,"",MIN($E$21,($I$5+'Cash Flows'!$BX$8+INDEX('Cash Flows'!$C$19:$BW$19,1,MATCH(EOMONTH(AB10,MOD(-MONTH(AB10),3)-3),'Cash Flows'!$C$4:$BW$4,0)))/$E$12)),IF(AF10&gt;0,AF10,""))</f>
        <v>2000000</v>
      </c>
      <c r="AB10" s="112">
        <f t="shared" si="28"/>
        <v>44711</v>
      </c>
      <c r="AC10" s="139">
        <f>IFERROR(IF($Z10&gt;$E$12,"",IF($E$5="Uniform Inputs",INDEX($D$45:$E$53,MATCH($AA$3,$B$45:$B$53,0),MATCH(AC$4,$D$44:$E$44,0)),IF(AH10=0,"",AH10))),"")</f>
        <v>3000000</v>
      </c>
      <c r="AD10" s="139">
        <f>IFERROR(IF($Z10&gt;$E$12,"",IF($E$5="Uniform Inputs",INDEX($D$45:$E$53,MATCH($AA$3,$B$45:$B$53,0),MATCH(AD$4,$D$44:$E$44,0)),IF(AI10=0,"",AI10))),"")</f>
        <v>11000000</v>
      </c>
      <c r="AE10" s="10">
        <f t="shared" ca="1" si="29"/>
        <v>0.18181818181818182</v>
      </c>
      <c r="AF10" s="11">
        <v>2000000</v>
      </c>
      <c r="AG10" s="168">
        <v>44711</v>
      </c>
      <c r="AH10" s="11">
        <v>3000000</v>
      </c>
      <c r="AI10" s="11">
        <v>11000000</v>
      </c>
      <c r="AJ10" s="139">
        <f ca="1">IF($E$5="Uniform Inputs",IF($Z10&gt;$E$13,"",IF($E$23="Pro-Rata",MIN(AL10*AE10,(($I$5+'Cash Flows'!$BX$8+INDEX('Cash Flows'!$C$19:$BW$19,1,MATCH(EOMONTH(AK10,MOD(-MONTH(AK10),3)-3),'Cash Flows'!$C$4:$BW$4,0)))-$AA$5)/$E$13),MIN($E$24,(($I$5+'Cash Flows'!$BX$8+INDEX('Cash Flows'!$C$19:$BW$19,1,MATCH(EOMONTH(AK10,MOD(-MONTH(AK10),3)-3),'Cash Flows'!$C$4:$BW$4,0)))-$AA$5)/$E$13))),IF(AO10=0,"",AO10))</f>
        <v>2181818.1818181816</v>
      </c>
      <c r="AK10" s="112">
        <f t="shared" si="6"/>
        <v>45258.5</v>
      </c>
      <c r="AL10" s="139">
        <f>IFERROR(IF($Z10&gt;$E$12,"",IF($E$5="Uniform Inputs",INDEX($D$45:$E$53,MATCH($AJ$3,$B$45:$B$53,0),MATCH(AL$4,$D$44:$E$44,0)),IF(AQ10=0,"",AQ10))),"")</f>
        <v>12000000</v>
      </c>
      <c r="AM10" s="139">
        <f>IFERROR(IF($Z10&gt;$E$12,"",IF($E$5="Uniform Inputs",INDEX($D$45:$E$53,MATCH($AJ$3,$B$45:$B$53,0),MATCH(AM$4,$D$44:$E$44,0)),IF(AR10=0,"",AR10))),"")</f>
        <v>48000000</v>
      </c>
      <c r="AN10" s="10">
        <f t="shared" ca="1" si="7"/>
        <v>0.1818181818181818</v>
      </c>
      <c r="AO10" s="11">
        <v>2181818.1818181816</v>
      </c>
      <c r="AP10" s="168">
        <v>45258.5</v>
      </c>
      <c r="AQ10" s="11">
        <v>12000000</v>
      </c>
      <c r="AR10" s="11">
        <v>48000000</v>
      </c>
      <c r="AS10" s="139">
        <f ca="1">IF($E$5="Uniform Inputs",IF($Z10&gt;$E$14,"",IF($E$23="Pro-Rata",MIN(AU10*AN10,(($I$5+'Cash Flows'!$BX$8+INDEX('Cash Flows'!$C$19:$BW$19,1,MATCH(EOMONTH(AT10,MOD(-MONTH(AT10),3)-3),'Cash Flows'!$C$4:$BW$4,0)))-SUM($AJ$5,$AA$5))/$E$14),MIN($E$25,(($I$5+'Cash Flows'!$BX$8+INDEX('Cash Flows'!$C$19:$BW$19,1,MATCH(EOMONTH(AT10,MOD(-MONTH(AT10),3)-3),'Cash Flows'!$C$4:$BW$4,0)))-SUM($AJ$5,$AA$5))/$E$14))),IF(AX10=0,"",AX10))</f>
        <v>1388636.3636363656</v>
      </c>
      <c r="AT10" s="112">
        <f t="shared" si="8"/>
        <v>45806</v>
      </c>
      <c r="AU10" s="139">
        <f>IFERROR(IF($Z10&gt;$E$12,"",IF($E$5="Uniform Inputs",INDEX($D$45:$E$53,MATCH($AS$3,$B$45:$B$53,0),MATCH(AU$4,$D$44:$E$44,0)),IF(AZ10=0,"",AZ10))),"")</f>
        <v>31000000</v>
      </c>
      <c r="AV10" s="139">
        <f>IFERROR(IF($Z10&gt;$E$12,"",IF($E$5="Uniform Inputs",INDEX($D$45:$E$53,MATCH($AS$3,$B$45:$B$53,0),MATCH(AV$4,$D$44:$E$44,0)),IF(BA10=0,"",BA10))),"")</f>
        <v>142000000</v>
      </c>
      <c r="AW10" s="10">
        <f t="shared" ca="1" si="9"/>
        <v>0.15190460947503201</v>
      </c>
      <c r="AX10" s="11">
        <v>1588636.3636363656</v>
      </c>
      <c r="AY10" s="168">
        <v>45806</v>
      </c>
      <c r="AZ10" s="11">
        <v>31000000</v>
      </c>
      <c r="BA10" s="11">
        <v>142000000</v>
      </c>
      <c r="BB10" s="139" t="str">
        <f>IF($E$5="Uniform Inputs",IF($Z10&gt;$E$15,"",IF($E$23="Pro-Rata",MIN(BD10*AW10,(($I$5+'Cash Flows'!$BX$8+INDEX('Cash Flows'!$C$19:$BW$19,1,MATCH(EOMONTH(BC10,MOD(-MONTH(BC10),3)-3),'Cash Flows'!$C$4:$BW$4,0)))-SUM($AS$5,$AJ$5,$AA$5))/$E$15),MIN($E$26,(($I$5+'Cash Flows'!$BX$8+INDEX('Cash Flows'!$C$19:$BW$19,1,MATCH(EOMONTH(BC10,MOD(-MONTH(BC10),3)-3),'Cash Flows'!$C$4:$BW$4,0)))-SUM($AS$5,$AJ$5,$AA$5))/$E$15))),IF(BG10=0,"",BG10))</f>
        <v/>
      </c>
      <c r="BC10" s="112">
        <f t="shared" si="10"/>
        <v>46353.5</v>
      </c>
      <c r="BD10" s="139">
        <f>IFERROR(IF($Z10&gt;$E$12,"",IF($E$5="Uniform Inputs",INDEX($D$45:$E$53,MATCH($BB$3,$B$45:$B$53,0),MATCH(BD$4,$D$44:$E$44,0)),IF(BI10=0,"",BI10))),"")</f>
        <v>70000000</v>
      </c>
      <c r="BE10" s="139">
        <f>IFERROR(IF($Z10&gt;$E$12,"",IF($E$5="Uniform Inputs",INDEX($D$45:$E$53,MATCH($BB$3,$B$45:$B$53,0),MATCH(BE$4,$D$44:$E$44,0)),IF(BJ10=0,"",BJ10))),"")</f>
        <v>375000000</v>
      </c>
      <c r="BF10" s="10">
        <f t="shared" ca="1" si="11"/>
        <v>0.12354908237302603</v>
      </c>
      <c r="BG10" s="11" t="s">
        <v>22</v>
      </c>
      <c r="BH10" s="168">
        <v>46353.5</v>
      </c>
      <c r="BI10" s="11">
        <v>70000000</v>
      </c>
      <c r="BJ10" s="11">
        <v>375000000</v>
      </c>
      <c r="BK10" s="139" t="str">
        <f>IF($E$5="Uniform Inputs",IF($Z10&gt;$E$16,"",IF($E$23="Pro-Rata",MIN(BM10*BF10,(($I$5+'Cash Flows'!$BX$8+INDEX('Cash Flows'!$C$19:$BW$19,1,MATCH(EOMONTH(BL10,MOD(-MONTH(BL10),3)-3),'Cash Flows'!$C$4:$BW$4,0)))-SUM($BB$5,$AS$5,$AJ$5,$AA$5))/$E$16),MIN($E$27,(($I$5+'Cash Flows'!$BX$8+INDEX('Cash Flows'!$C$19:$BW$19,1,MATCH(EOMONTH(BL10,MOD(-MONTH(BL10),3)-3),'Cash Flows'!$C$4:$BW$4,0)))-SUM($BB$5,$AS$5,$AJ$5,$AA$5))/$E$16))),IF(BP10=0,"",BP10))</f>
        <v/>
      </c>
      <c r="BL10" s="112">
        <f t="shared" si="12"/>
        <v>46901</v>
      </c>
      <c r="BM10" s="139">
        <f>IFERROR(IF($Z10&gt;$E$12,"",IF($E$5="Uniform Inputs",INDEX($D$45:$E$53,MATCH($BK$3,$B$45:$B$53,0),MATCH(BM$4,$D$44:$E$44,0)),IF(BR10=0,"",BR10))),"")</f>
        <v>110000000</v>
      </c>
      <c r="BN10" s="139">
        <f>IFERROR(IF($Z10&gt;$E$12,"",IF($E$5="Uniform Inputs",INDEX($D$45:$E$53,MATCH($BK$3,$B$45:$B$53,0),MATCH(BN$4,$D$44:$E$44,0)),IF(BS10=0,"",BS10))),"")</f>
        <v>1000000000</v>
      </c>
      <c r="BO10" s="10">
        <f t="shared" ca="1" si="13"/>
        <v>0.10995868331199317</v>
      </c>
      <c r="BP10" s="11" t="s">
        <v>22</v>
      </c>
      <c r="BQ10" s="168">
        <v>46901</v>
      </c>
      <c r="BR10" s="11">
        <v>110000000</v>
      </c>
      <c r="BS10" s="11">
        <v>1000000000</v>
      </c>
      <c r="BT10" s="139" t="str">
        <f t="shared" si="30"/>
        <v/>
      </c>
      <c r="BU10" s="112">
        <f t="shared" si="14"/>
        <v>47448.5</v>
      </c>
      <c r="BV10" s="139">
        <f>IFERROR(IF($Z10&gt;$E$12,"",IF($E$5="Uniform Inputs",INDEX($D$45:$E$53,MATCH($BT$3,$B$45:$B$53,0),MATCH(BV$4,$D$44:$E$44,0)),IF(CA10=0,"",CA10))),"")</f>
        <v>150000000</v>
      </c>
      <c r="BW10" s="139">
        <f>IFERROR(IF($Z10&gt;$E$12,"",IF($E$5="Uniform Inputs",INDEX($D$45:$E$53,MATCH($BT$3,$B$45:$B$53,0),MATCH(BW$4,$D$44:$E$44,0)),IF(CB10=0,"",CB10))),"")</f>
        <v>1300000000</v>
      </c>
      <c r="BX10" s="10">
        <f t="shared" ca="1" si="15"/>
        <v>9.7271142929840113E-2</v>
      </c>
      <c r="BY10" s="11" t="s">
        <v>22</v>
      </c>
      <c r="BZ10" s="168">
        <v>47448.5</v>
      </c>
      <c r="CA10" s="11">
        <v>150000000</v>
      </c>
      <c r="CB10" s="11">
        <v>1300000000</v>
      </c>
      <c r="CC10" s="139" t="str">
        <f t="shared" si="31"/>
        <v/>
      </c>
      <c r="CD10" s="112">
        <f t="shared" si="16"/>
        <v>47996</v>
      </c>
      <c r="CE10" s="139">
        <f>IFERROR(IF($Z10&gt;$E$12,"",IF($E$5="Uniform Inputs",INDEX($D$45:$E$53,MATCH($CC$3,$B$45:$B$53,0),MATCH(CE$4,$D$44:$E$44,0)),IF(CJ10=0,"",CJ10))),"")</f>
        <v>200000000</v>
      </c>
      <c r="CF10" s="139">
        <f>IFERROR(IF($Z10&gt;$E$12,"",IF($E$5="Uniform Inputs",INDEX($D$45:$E$53,MATCH($CC$3,$B$45:$B$53,0),MATCH(CF$4,$D$44:$E$44,0)),IF(CK10=0,"",CK10))),"")</f>
        <v>2300000000</v>
      </c>
      <c r="CG10" s="10">
        <f t="shared" ca="1" si="17"/>
        <v>8.8812782675071408E-2</v>
      </c>
      <c r="CH10" s="11" t="s">
        <v>22</v>
      </c>
      <c r="CI10" s="168">
        <v>47996</v>
      </c>
      <c r="CJ10" s="11">
        <v>200000000</v>
      </c>
      <c r="CK10" s="11">
        <v>2300000000</v>
      </c>
      <c r="CL10" s="139" t="str">
        <f t="shared" si="32"/>
        <v/>
      </c>
      <c r="CM10" s="112">
        <f t="shared" si="18"/>
        <v>48543.5</v>
      </c>
      <c r="CN10" s="139">
        <f>IFERROR(IF($Z10&gt;$E$12,"",IF($E$5="Uniform Inputs",INDEX($D$45:$E$53,MATCH($CL$3,$B$45:$B$53,0),MATCH(CN$4,$D$44:$E$44,0)),IF(CS10=0,"",CS10))),"")</f>
        <v>275000000</v>
      </c>
      <c r="CO10" s="139">
        <f>IFERROR(IF($Z10&gt;$E$12,"",IF($E$5="Uniform Inputs",INDEX($D$45:$E$53,MATCH($CL$3,$B$45:$B$53,0),MATCH(CO$4,$D$44:$E$44,0)),IF(CT10=0,"",CT10))),"")</f>
        <v>3000000000</v>
      </c>
      <c r="CP10" s="10">
        <f t="shared" ca="1" si="19"/>
        <v>8.067161092985653E-2</v>
      </c>
      <c r="CQ10" s="11" t="s">
        <v>22</v>
      </c>
      <c r="CR10" s="168">
        <v>48543.5</v>
      </c>
      <c r="CS10" s="11">
        <v>275000000</v>
      </c>
      <c r="CT10" s="11">
        <v>3000000000</v>
      </c>
      <c r="CU10" s="139" t="str">
        <f t="shared" si="33"/>
        <v/>
      </c>
      <c r="CV10" s="112">
        <f t="shared" si="20"/>
        <v>49091</v>
      </c>
      <c r="CW10" s="139" t="str">
        <f>IFERROR(IF($Z10&gt;$E$12,"",IF($E$5="Uniform Inputs",INDEX($D$45:$E$53,MATCH($CU$3,$B$45:$B$53,0),MATCH(CW$4,$D$44:$E$44,0)),IF(DB10=0,"",DB10))),"")</f>
        <v/>
      </c>
      <c r="CX10" s="139" t="str">
        <f>IFERROR(IF($Z10&gt;$E$12,"",IF($E$5="Uniform Inputs",INDEX($D$45:$E$53,MATCH($CU$3,$B$45:$B$53,0),MATCH(CX$4,$D$44:$E$44,0)),IF(DC10=0,"",DC10))),"")</f>
        <v/>
      </c>
      <c r="CY10" s="10" t="str">
        <f t="shared" ca="1" si="21"/>
        <v/>
      </c>
      <c r="CZ10" s="11" t="s">
        <v>22</v>
      </c>
      <c r="DA10" s="168">
        <v>49091</v>
      </c>
      <c r="DB10" s="11" t="s">
        <v>22</v>
      </c>
      <c r="DC10" s="11" t="s">
        <v>22</v>
      </c>
    </row>
    <row r="11" spans="1:107" x14ac:dyDescent="0.25">
      <c r="B11" s="116" t="s">
        <v>85</v>
      </c>
      <c r="C11" s="114"/>
      <c r="D11" s="114"/>
      <c r="E11" s="123">
        <v>0.1</v>
      </c>
      <c r="G11" s="43" t="s">
        <v>74</v>
      </c>
      <c r="H11" s="86"/>
      <c r="I11" s="98">
        <f>IF($E$5="Uniform Inputs",EOMONTH(E9+(I10*30),0),"N/A")</f>
        <v>45322</v>
      </c>
      <c r="K11" s="6">
        <f t="shared" si="22"/>
        <v>6</v>
      </c>
      <c r="L11" s="32">
        <v>200000000</v>
      </c>
      <c r="M11" s="33" t="s">
        <v>9</v>
      </c>
      <c r="O11" s="6">
        <f t="shared" si="23"/>
        <v>6</v>
      </c>
      <c r="P11" s="35" t="str">
        <f t="shared" ca="1" si="0"/>
        <v>Seed</v>
      </c>
      <c r="Q11" s="102">
        <f t="shared" ca="1" si="1"/>
        <v>0.18181818181818182</v>
      </c>
      <c r="R11" s="102">
        <f t="shared" ca="1" si="2"/>
        <v>0.10287989756722149</v>
      </c>
      <c r="S11" s="112">
        <f t="shared" si="24"/>
        <v>44741</v>
      </c>
      <c r="T11" s="112">
        <f t="shared" ca="1" si="3"/>
        <v>47478.5</v>
      </c>
      <c r="U11" s="1">
        <f t="shared" ca="1" si="25"/>
        <v>4181818.1818181816</v>
      </c>
      <c r="V11" s="1">
        <f t="shared" ca="1" si="4"/>
        <v>20575979.513444297</v>
      </c>
      <c r="W11" s="34">
        <f t="shared" ca="1" si="26"/>
        <v>4.9203429271279839</v>
      </c>
      <c r="Y11" s="2">
        <v>6</v>
      </c>
      <c r="Z11" s="6">
        <f t="shared" si="27"/>
        <v>6</v>
      </c>
      <c r="AA11" s="139">
        <f ca="1">IF($E$5="Uniform Inputs",IF($Z11&gt;$E$12,"",MIN($E$21,($I$5+'Cash Flows'!$BX$8+INDEX('Cash Flows'!$C$19:$BW$19,1,MATCH(EOMONTH(AB11,MOD(-MONTH(AB11),3)-3),'Cash Flows'!$C$4:$BW$4,0)))/$E$12)),IF(AF11&gt;0,AF11,""))</f>
        <v>2000000</v>
      </c>
      <c r="AB11" s="112">
        <f t="shared" si="28"/>
        <v>44741</v>
      </c>
      <c r="AC11" s="139">
        <f>IFERROR(IF($Z11&gt;$E$12,"",IF($E$5="Uniform Inputs",INDEX($D$45:$E$53,MATCH($AA$3,$B$45:$B$53,0),MATCH(AC$4,$D$44:$E$44,0)),IF(AH11=0,"",AH11))),"")</f>
        <v>3000000</v>
      </c>
      <c r="AD11" s="139">
        <f>IFERROR(IF($Z11&gt;$E$12,"",IF($E$5="Uniform Inputs",INDEX($D$45:$E$53,MATCH($AA$3,$B$45:$B$53,0),MATCH(AD$4,$D$44:$E$44,0)),IF(AI11=0,"",AI11))),"")</f>
        <v>11000000</v>
      </c>
      <c r="AE11" s="10">
        <f t="shared" ca="1" si="29"/>
        <v>0.18181818181818182</v>
      </c>
      <c r="AF11" s="11">
        <v>2000000</v>
      </c>
      <c r="AG11" s="168">
        <v>44741</v>
      </c>
      <c r="AH11" s="11">
        <v>3000000</v>
      </c>
      <c r="AI11" s="11">
        <v>11000000</v>
      </c>
      <c r="AJ11" s="139">
        <f ca="1">IF($E$5="Uniform Inputs",IF($Z11&gt;$E$13,"",IF($E$23="Pro-Rata",MIN(AL11*AE11,(($I$5+'Cash Flows'!$BX$8+INDEX('Cash Flows'!$C$19:$BW$19,1,MATCH(EOMONTH(AK11,MOD(-MONTH(AK11),3)-3),'Cash Flows'!$C$4:$BW$4,0)))-$AA$5)/$E$13),MIN($E$24,(($I$5+'Cash Flows'!$BX$8+INDEX('Cash Flows'!$C$19:$BW$19,1,MATCH(EOMONTH(AK11,MOD(-MONTH(AK11),3)-3),'Cash Flows'!$C$4:$BW$4,0)))-$AA$5)/$E$13))),IF(AO11=0,"",AO11))</f>
        <v>2181818.1818181816</v>
      </c>
      <c r="AK11" s="112">
        <f t="shared" si="6"/>
        <v>45288.5</v>
      </c>
      <c r="AL11" s="139">
        <f>IFERROR(IF($Z11&gt;$E$12,"",IF($E$5="Uniform Inputs",INDEX($D$45:$E$53,MATCH($AJ$3,$B$45:$B$53,0),MATCH(AL$4,$D$44:$E$44,0)),IF(AQ11=0,"",AQ11))),"")</f>
        <v>12000000</v>
      </c>
      <c r="AM11" s="139">
        <f>IFERROR(IF($Z11&gt;$E$12,"",IF($E$5="Uniform Inputs",INDEX($D$45:$E$53,MATCH($AJ$3,$B$45:$B$53,0),MATCH(AM$4,$D$44:$E$44,0)),IF(AR11=0,"",AR11))),"")</f>
        <v>48000000</v>
      </c>
      <c r="AN11" s="10">
        <f t="shared" ca="1" si="7"/>
        <v>0.1818181818181818</v>
      </c>
      <c r="AO11" s="11">
        <v>2181818.1818181816</v>
      </c>
      <c r="AP11" s="168">
        <v>45288.5</v>
      </c>
      <c r="AQ11" s="11">
        <v>12000000</v>
      </c>
      <c r="AR11" s="11">
        <v>48000000</v>
      </c>
      <c r="AS11" s="139" t="str">
        <f>IF($E$5="Uniform Inputs",IF($Z11&gt;$E$14,"",IF($E$23="Pro-Rata",MIN(AU11*AN11,(($I$5+'Cash Flows'!$BX$8+INDEX('Cash Flows'!$C$19:$BW$19,1,MATCH(EOMONTH(AT11,MOD(-MONTH(AT11),3)-3),'Cash Flows'!$C$4:$BW$4,0)))-SUM($AJ$5,$AA$5))/$E$14),MIN($E$25,(($I$5+'Cash Flows'!$BX$8+INDEX('Cash Flows'!$C$19:$BW$19,1,MATCH(EOMONTH(AT11,MOD(-MONTH(AT11),3)-3),'Cash Flows'!$C$4:$BW$4,0)))-SUM($AJ$5,$AA$5))/$E$14))),IF(AX11=0,"",AX11))</f>
        <v/>
      </c>
      <c r="AT11" s="112">
        <f t="shared" si="8"/>
        <v>45836</v>
      </c>
      <c r="AU11" s="139">
        <f>IFERROR(IF($Z11&gt;$E$12,"",IF($E$5="Uniform Inputs",INDEX($D$45:$E$53,MATCH($AS$3,$B$45:$B$53,0),MATCH(AU$4,$D$44:$E$44,0)),IF(AZ11=0,"",AZ11))),"")</f>
        <v>31000000</v>
      </c>
      <c r="AV11" s="139">
        <f>IFERROR(IF($Z11&gt;$E$12,"",IF($E$5="Uniform Inputs",INDEX($D$45:$E$53,MATCH($AS$3,$B$45:$B$53,0),MATCH(AV$4,$D$44:$E$44,0)),IF(BA11=0,"",BA11))),"")</f>
        <v>142000000</v>
      </c>
      <c r="AW11" s="10">
        <f t="shared" ca="1" si="9"/>
        <v>0.14212548015364915</v>
      </c>
      <c r="AX11" s="11" t="s">
        <v>22</v>
      </c>
      <c r="AY11" s="168">
        <v>45836</v>
      </c>
      <c r="AZ11" s="11">
        <v>31000000</v>
      </c>
      <c r="BA11" s="11">
        <v>142000000</v>
      </c>
      <c r="BB11" s="139" t="str">
        <f>IF($E$5="Uniform Inputs",IF($Z11&gt;$E$15,"",IF($E$23="Pro-Rata",MIN(BD11*AW11,(($I$5+'Cash Flows'!$BX$8+INDEX('Cash Flows'!$C$19:$BW$19,1,MATCH(EOMONTH(BC11,MOD(-MONTH(BC11),3)-3),'Cash Flows'!$C$4:$BW$4,0)))-SUM($AS$5,$AJ$5,$AA$5))/$E$15),MIN($E$26,(($I$5+'Cash Flows'!$BX$8+INDEX('Cash Flows'!$C$19:$BW$19,1,MATCH(EOMONTH(BC11,MOD(-MONTH(BC11),3)-3),'Cash Flows'!$C$4:$BW$4,0)))-SUM($AS$5,$AJ$5,$AA$5))/$E$15))),IF(BG11=0,"",BG11))</f>
        <v/>
      </c>
      <c r="BC11" s="112">
        <f t="shared" si="10"/>
        <v>46383.5</v>
      </c>
      <c r="BD11" s="139">
        <f>IFERROR(IF($Z11&gt;$E$12,"",IF($E$5="Uniform Inputs",INDEX($D$45:$E$53,MATCH($BB$3,$B$45:$B$53,0),MATCH(BD$4,$D$44:$E$44,0)),IF(BI11=0,"",BI11))),"")</f>
        <v>70000000</v>
      </c>
      <c r="BE11" s="139">
        <f>IFERROR(IF($Z11&gt;$E$12,"",IF($E$5="Uniform Inputs",INDEX($D$45:$E$53,MATCH($BB$3,$B$45:$B$53,0),MATCH(BE$4,$D$44:$E$44,0)),IF(BJ11=0,"",BJ11))),"")</f>
        <v>375000000</v>
      </c>
      <c r="BF11" s="10">
        <f t="shared" ca="1" si="11"/>
        <v>0.11559539052496796</v>
      </c>
      <c r="BG11" s="11" t="s">
        <v>22</v>
      </c>
      <c r="BH11" s="168">
        <v>46383.5</v>
      </c>
      <c r="BI11" s="11">
        <v>70000000</v>
      </c>
      <c r="BJ11" s="11">
        <v>375000000</v>
      </c>
      <c r="BK11" s="139" t="str">
        <f>IF($E$5="Uniform Inputs",IF($Z11&gt;$E$16,"",IF($E$23="Pro-Rata",MIN(BM11*BF11,(($I$5+'Cash Flows'!$BX$8+INDEX('Cash Flows'!$C$19:$BW$19,1,MATCH(EOMONTH(BL11,MOD(-MONTH(BL11),3)-3),'Cash Flows'!$C$4:$BW$4,0)))-SUM($BB$5,$AS$5,$AJ$5,$AA$5))/$E$16),MIN($E$27,(($I$5+'Cash Flows'!$BX$8+INDEX('Cash Flows'!$C$19:$BW$19,1,MATCH(EOMONTH(BL11,MOD(-MONTH(BL11),3)-3),'Cash Flows'!$C$4:$BW$4,0)))-SUM($BB$5,$AS$5,$AJ$5,$AA$5))/$E$16))),IF(BP11=0,"",BP11))</f>
        <v/>
      </c>
      <c r="BL11" s="112">
        <f t="shared" si="12"/>
        <v>46931</v>
      </c>
      <c r="BM11" s="139">
        <f>IFERROR(IF($Z11&gt;$E$12,"",IF($E$5="Uniform Inputs",INDEX($D$45:$E$53,MATCH($BK$3,$B$45:$B$53,0),MATCH(BM$4,$D$44:$E$44,0)),IF(BR11=0,"",BR11))),"")</f>
        <v>110000000</v>
      </c>
      <c r="BN11" s="139">
        <f>IFERROR(IF($Z11&gt;$E$12,"",IF($E$5="Uniform Inputs",INDEX($D$45:$E$53,MATCH($BK$3,$B$45:$B$53,0),MATCH(BN$4,$D$44:$E$44,0)),IF(BS11=0,"",BS11))),"")</f>
        <v>1000000000</v>
      </c>
      <c r="BO11" s="10">
        <f t="shared" ca="1" si="13"/>
        <v>0.10287989756722149</v>
      </c>
      <c r="BP11" s="11" t="s">
        <v>22</v>
      </c>
      <c r="BQ11" s="168">
        <v>46931</v>
      </c>
      <c r="BR11" s="11">
        <v>110000000</v>
      </c>
      <c r="BS11" s="11">
        <v>1000000000</v>
      </c>
      <c r="BT11" s="139" t="str">
        <f t="shared" si="30"/>
        <v/>
      </c>
      <c r="BU11" s="112">
        <f t="shared" si="14"/>
        <v>47478.5</v>
      </c>
      <c r="BV11" s="139">
        <f>IFERROR(IF($Z11&gt;$E$12,"",IF($E$5="Uniform Inputs",INDEX($D$45:$E$53,MATCH($BT$3,$B$45:$B$53,0),MATCH(BV$4,$D$44:$E$44,0)),IF(CA11=0,"",CA11))),"")</f>
        <v>150000000</v>
      </c>
      <c r="BW11" s="139">
        <f>IFERROR(IF($Z11&gt;$E$12,"",IF($E$5="Uniform Inputs",INDEX($D$45:$E$53,MATCH($BT$3,$B$45:$B$53,0),MATCH(BW$4,$D$44:$E$44,0)),IF(CB11=0,"",CB11))),"")</f>
        <v>1300000000</v>
      </c>
      <c r="BX11" s="10">
        <f t="shared" ca="1" si="15"/>
        <v>9.1009140155619006E-2</v>
      </c>
      <c r="BY11" s="11" t="s">
        <v>22</v>
      </c>
      <c r="BZ11" s="168">
        <v>47478.5</v>
      </c>
      <c r="CA11" s="11">
        <v>150000000</v>
      </c>
      <c r="CB11" s="11">
        <v>1300000000</v>
      </c>
      <c r="CC11" s="139" t="str">
        <f t="shared" si="31"/>
        <v/>
      </c>
      <c r="CD11" s="112">
        <f t="shared" si="16"/>
        <v>48026</v>
      </c>
      <c r="CE11" s="139">
        <f>IFERROR(IF($Z11&gt;$E$12,"",IF($E$5="Uniform Inputs",INDEX($D$45:$E$53,MATCH($CC$3,$B$45:$B$53,0),MATCH(CE$4,$D$44:$E$44,0)),IF(CJ11=0,"",CJ11))),"")</f>
        <v>200000000</v>
      </c>
      <c r="CF11" s="139">
        <f>IFERROR(IF($Z11&gt;$E$12,"",IF($E$5="Uniform Inputs",INDEX($D$45:$E$53,MATCH($CC$3,$B$45:$B$53,0),MATCH(CF$4,$D$44:$E$44,0)),IF(CK11=0,"",CK11))),"")</f>
        <v>2300000000</v>
      </c>
      <c r="CG11" s="10">
        <f t="shared" ca="1" si="17"/>
        <v>8.3095301881217346E-2</v>
      </c>
      <c r="CH11" s="11" t="s">
        <v>22</v>
      </c>
      <c r="CI11" s="168">
        <v>48026</v>
      </c>
      <c r="CJ11" s="11">
        <v>200000000</v>
      </c>
      <c r="CK11" s="11">
        <v>2300000000</v>
      </c>
      <c r="CL11" s="139" t="str">
        <f t="shared" si="32"/>
        <v/>
      </c>
      <c r="CM11" s="112">
        <f t="shared" si="18"/>
        <v>48573.5</v>
      </c>
      <c r="CN11" s="139">
        <f>IFERROR(IF($Z11&gt;$E$12,"",IF($E$5="Uniform Inputs",INDEX($D$45:$E$53,MATCH($CL$3,$B$45:$B$53,0),MATCH(CN$4,$D$44:$E$44,0)),IF(CS11=0,"",CS11))),"")</f>
        <v>275000000</v>
      </c>
      <c r="CO11" s="139">
        <f>IFERROR(IF($Z11&gt;$E$12,"",IF($E$5="Uniform Inputs",INDEX($D$45:$E$53,MATCH($CL$3,$B$45:$B$53,0),MATCH(CO$4,$D$44:$E$44,0)),IF(CT11=0,"",CT11))),"")</f>
        <v>3000000000</v>
      </c>
      <c r="CP11" s="10">
        <f t="shared" ca="1" si="19"/>
        <v>7.5478232542105755E-2</v>
      </c>
      <c r="CQ11" s="11" t="s">
        <v>22</v>
      </c>
      <c r="CR11" s="168">
        <v>48573.5</v>
      </c>
      <c r="CS11" s="11">
        <v>275000000</v>
      </c>
      <c r="CT11" s="11">
        <v>3000000000</v>
      </c>
      <c r="CU11" s="139" t="str">
        <f t="shared" si="33"/>
        <v/>
      </c>
      <c r="CV11" s="112">
        <f t="shared" si="20"/>
        <v>49121</v>
      </c>
      <c r="CW11" s="139" t="str">
        <f>IFERROR(IF($Z11&gt;$E$12,"",IF($E$5="Uniform Inputs",INDEX($D$45:$E$53,MATCH($CU$3,$B$45:$B$53,0),MATCH(CW$4,$D$44:$E$44,0)),IF(DB11=0,"",DB11))),"")</f>
        <v/>
      </c>
      <c r="CX11" s="139" t="str">
        <f>IFERROR(IF($Z11&gt;$E$12,"",IF($E$5="Uniform Inputs",INDEX($D$45:$E$53,MATCH($CU$3,$B$45:$B$53,0),MATCH(CX$4,$D$44:$E$44,0)),IF(DC11=0,"",DC11))),"")</f>
        <v/>
      </c>
      <c r="CY11" s="10" t="str">
        <f t="shared" ca="1" si="21"/>
        <v/>
      </c>
      <c r="CZ11" s="11" t="s">
        <v>22</v>
      </c>
      <c r="DA11" s="168">
        <v>49121</v>
      </c>
      <c r="DB11" s="11" t="s">
        <v>22</v>
      </c>
      <c r="DC11" s="11" t="s">
        <v>22</v>
      </c>
    </row>
    <row r="12" spans="1:107" x14ac:dyDescent="0.25">
      <c r="B12" s="116" t="s">
        <v>86</v>
      </c>
      <c r="C12" s="114"/>
      <c r="D12" s="115"/>
      <c r="E12" s="120">
        <v>25</v>
      </c>
      <c r="K12" s="6">
        <f t="shared" si="22"/>
        <v>7</v>
      </c>
      <c r="L12" s="32">
        <v>150000000</v>
      </c>
      <c r="M12" s="33" t="s">
        <v>11</v>
      </c>
      <c r="O12" s="6">
        <f t="shared" si="23"/>
        <v>7</v>
      </c>
      <c r="P12" s="35" t="str">
        <f t="shared" ca="1" si="0"/>
        <v>Seed</v>
      </c>
      <c r="Q12" s="102">
        <f t="shared" ca="1" si="1"/>
        <v>0.18181818181818182</v>
      </c>
      <c r="R12" s="102">
        <f t="shared" ca="1" si="2"/>
        <v>7.5478232542105755E-2</v>
      </c>
      <c r="S12" s="112">
        <f t="shared" si="24"/>
        <v>44771</v>
      </c>
      <c r="T12" s="112">
        <f t="shared" ca="1" si="3"/>
        <v>49151</v>
      </c>
      <c r="U12" s="1">
        <f t="shared" ca="1" si="25"/>
        <v>4181818.1818181816</v>
      </c>
      <c r="V12" s="1">
        <f t="shared" ca="1" si="4"/>
        <v>11321734.881315863</v>
      </c>
      <c r="W12" s="34">
        <f t="shared" ca="1" si="26"/>
        <v>2.7073713846624892</v>
      </c>
      <c r="Y12" s="2">
        <v>7</v>
      </c>
      <c r="Z12" s="6">
        <f t="shared" si="27"/>
        <v>7</v>
      </c>
      <c r="AA12" s="139">
        <f ca="1">IF($E$5="Uniform Inputs",IF($Z12&gt;$E$12,"",MIN($E$21,($I$5+'Cash Flows'!$BX$8+INDEX('Cash Flows'!$C$19:$BW$19,1,MATCH(EOMONTH(AB12,MOD(-MONTH(AB12),3)-3),'Cash Flows'!$C$4:$BW$4,0)))/$E$12)),IF(AF12&gt;0,AF12,""))</f>
        <v>2000000</v>
      </c>
      <c r="AB12" s="112">
        <f t="shared" si="28"/>
        <v>44771</v>
      </c>
      <c r="AC12" s="139">
        <f>IFERROR(IF($Z12&gt;$E$12,"",IF($E$5="Uniform Inputs",INDEX($D$45:$E$53,MATCH($AA$3,$B$45:$B$53,0),MATCH(AC$4,$D$44:$E$44,0)),IF(AH12=0,"",AH12))),"")</f>
        <v>3000000</v>
      </c>
      <c r="AD12" s="139">
        <f>IFERROR(IF($Z12&gt;$E$12,"",IF($E$5="Uniform Inputs",INDEX($D$45:$E$53,MATCH($AA$3,$B$45:$B$53,0),MATCH(AD$4,$D$44:$E$44,0)),IF(AI12=0,"",AI12))),"")</f>
        <v>11000000</v>
      </c>
      <c r="AE12" s="10">
        <f t="shared" ca="1" si="29"/>
        <v>0.18181818181818182</v>
      </c>
      <c r="AF12" s="11">
        <v>2000000</v>
      </c>
      <c r="AG12" s="168">
        <v>44771</v>
      </c>
      <c r="AH12" s="11">
        <v>3000000</v>
      </c>
      <c r="AI12" s="11">
        <v>11000000</v>
      </c>
      <c r="AJ12" s="139">
        <f ca="1">IF($E$5="Uniform Inputs",IF($Z12&gt;$E$13,"",IF($E$23="Pro-Rata",MIN(AL12*AE12,(($I$5+'Cash Flows'!$BX$8+INDEX('Cash Flows'!$C$19:$BW$19,1,MATCH(EOMONTH(AK12,MOD(-MONTH(AK12),3)-3),'Cash Flows'!$C$4:$BW$4,0)))-$AA$5)/$E$13),MIN($E$24,(($I$5+'Cash Flows'!$BX$8+INDEX('Cash Flows'!$C$19:$BW$19,1,MATCH(EOMONTH(AK12,MOD(-MONTH(AK12),3)-3),'Cash Flows'!$C$4:$BW$4,0)))-$AA$5)/$E$13))),IF(AO12=0,"",AO12))</f>
        <v>2181818.1818181816</v>
      </c>
      <c r="AK12" s="112">
        <f t="shared" si="6"/>
        <v>45318.5</v>
      </c>
      <c r="AL12" s="139">
        <f>IFERROR(IF($Z12&gt;$E$12,"",IF($E$5="Uniform Inputs",INDEX($D$45:$E$53,MATCH($AJ$3,$B$45:$B$53,0),MATCH(AL$4,$D$44:$E$44,0)),IF(AQ12=0,"",AQ12))),"")</f>
        <v>12000000</v>
      </c>
      <c r="AM12" s="139">
        <f>IFERROR(IF($Z12&gt;$E$12,"",IF($E$5="Uniform Inputs",INDEX($D$45:$E$53,MATCH($AJ$3,$B$45:$B$53,0),MATCH(AM$4,$D$44:$E$44,0)),IF(AR12=0,"",AR12))),"")</f>
        <v>48000000</v>
      </c>
      <c r="AN12" s="10">
        <f t="shared" ca="1" si="7"/>
        <v>0.1818181818181818</v>
      </c>
      <c r="AO12" s="11">
        <v>2181818.1818181816</v>
      </c>
      <c r="AP12" s="168">
        <v>45318.5</v>
      </c>
      <c r="AQ12" s="11">
        <v>12000000</v>
      </c>
      <c r="AR12" s="11">
        <v>48000000</v>
      </c>
      <c r="AS12" s="139" t="str">
        <f>IF($E$5="Uniform Inputs",IF($Z12&gt;$E$14,"",IF($E$23="Pro-Rata",MIN(AU12*AN12,(($I$5+'Cash Flows'!$BX$8+INDEX('Cash Flows'!$C$19:$BW$19,1,MATCH(EOMONTH(AT12,MOD(-MONTH(AT12),3)-3),'Cash Flows'!$C$4:$BW$4,0)))-SUM($AJ$5,$AA$5))/$E$14),MIN($E$25,(($I$5+'Cash Flows'!$BX$8+INDEX('Cash Flows'!$C$19:$BW$19,1,MATCH(EOMONTH(AT12,MOD(-MONTH(AT12),3)-3),'Cash Flows'!$C$4:$BW$4,0)))-SUM($AJ$5,$AA$5))/$E$14))),IF(AX12=0,"",AX12))</f>
        <v/>
      </c>
      <c r="AT12" s="112">
        <f t="shared" si="8"/>
        <v>45866</v>
      </c>
      <c r="AU12" s="139">
        <f>IFERROR(IF($Z12&gt;$E$12,"",IF($E$5="Uniform Inputs",INDEX($D$45:$E$53,MATCH($AS$3,$B$45:$B$53,0),MATCH(AU$4,$D$44:$E$44,0)),IF(AZ12=0,"",AZ12))),"")</f>
        <v>31000000</v>
      </c>
      <c r="AV12" s="139">
        <f>IFERROR(IF($Z12&gt;$E$12,"",IF($E$5="Uniform Inputs",INDEX($D$45:$E$53,MATCH($AS$3,$B$45:$B$53,0),MATCH(AV$4,$D$44:$E$44,0)),IF(BA12=0,"",BA12))),"")</f>
        <v>142000000</v>
      </c>
      <c r="AW12" s="10">
        <f t="shared" ca="1" si="9"/>
        <v>0.14212548015364915</v>
      </c>
      <c r="AX12" s="11" t="s">
        <v>22</v>
      </c>
      <c r="AY12" s="168">
        <v>45866</v>
      </c>
      <c r="AZ12" s="11">
        <v>31000000</v>
      </c>
      <c r="BA12" s="11">
        <v>142000000</v>
      </c>
      <c r="BB12" s="139" t="str">
        <f>IF($E$5="Uniform Inputs",IF($Z12&gt;$E$15,"",IF($E$23="Pro-Rata",MIN(BD12*AW12,(($I$5+'Cash Flows'!$BX$8+INDEX('Cash Flows'!$C$19:$BW$19,1,MATCH(EOMONTH(BC12,MOD(-MONTH(BC12),3)-3),'Cash Flows'!$C$4:$BW$4,0)))-SUM($AS$5,$AJ$5,$AA$5))/$E$15),MIN($E$26,(($I$5+'Cash Flows'!$BX$8+INDEX('Cash Flows'!$C$19:$BW$19,1,MATCH(EOMONTH(BC12,MOD(-MONTH(BC12),3)-3),'Cash Flows'!$C$4:$BW$4,0)))-SUM($AS$5,$AJ$5,$AA$5))/$E$15))),IF(BG12=0,"",BG12))</f>
        <v/>
      </c>
      <c r="BC12" s="112">
        <f t="shared" si="10"/>
        <v>46413.5</v>
      </c>
      <c r="BD12" s="139">
        <f>IFERROR(IF($Z12&gt;$E$12,"",IF($E$5="Uniform Inputs",INDEX($D$45:$E$53,MATCH($BB$3,$B$45:$B$53,0),MATCH(BD$4,$D$44:$E$44,0)),IF(BI12=0,"",BI12))),"")</f>
        <v>70000000</v>
      </c>
      <c r="BE12" s="139">
        <f>IFERROR(IF($Z12&gt;$E$12,"",IF($E$5="Uniform Inputs",INDEX($D$45:$E$53,MATCH($BB$3,$B$45:$B$53,0),MATCH(BE$4,$D$44:$E$44,0)),IF(BJ12=0,"",BJ12))),"")</f>
        <v>375000000</v>
      </c>
      <c r="BF12" s="10">
        <f t="shared" ca="1" si="11"/>
        <v>0.11559539052496796</v>
      </c>
      <c r="BG12" s="11" t="s">
        <v>22</v>
      </c>
      <c r="BH12" s="168">
        <v>46413.5</v>
      </c>
      <c r="BI12" s="11">
        <v>70000000</v>
      </c>
      <c r="BJ12" s="11">
        <v>375000000</v>
      </c>
      <c r="BK12" s="139" t="str">
        <f>IF($E$5="Uniform Inputs",IF($Z12&gt;$E$16,"",IF($E$23="Pro-Rata",MIN(BM12*BF12,(($I$5+'Cash Flows'!$BX$8+INDEX('Cash Flows'!$C$19:$BW$19,1,MATCH(EOMONTH(BL12,MOD(-MONTH(BL12),3)-3),'Cash Flows'!$C$4:$BW$4,0)))-SUM($BB$5,$AS$5,$AJ$5,$AA$5))/$E$16),MIN($E$27,(($I$5+'Cash Flows'!$BX$8+INDEX('Cash Flows'!$C$19:$BW$19,1,MATCH(EOMONTH(BL12,MOD(-MONTH(BL12),3)-3),'Cash Flows'!$C$4:$BW$4,0)))-SUM($BB$5,$AS$5,$AJ$5,$AA$5))/$E$16))),IF(BP12=0,"",BP12))</f>
        <v/>
      </c>
      <c r="BL12" s="112">
        <f t="shared" si="12"/>
        <v>46961</v>
      </c>
      <c r="BM12" s="139">
        <f>IFERROR(IF($Z12&gt;$E$12,"",IF($E$5="Uniform Inputs",INDEX($D$45:$E$53,MATCH($BK$3,$B$45:$B$53,0),MATCH(BM$4,$D$44:$E$44,0)),IF(BR12=0,"",BR12))),"")</f>
        <v>110000000</v>
      </c>
      <c r="BN12" s="139">
        <f>IFERROR(IF($Z12&gt;$E$12,"",IF($E$5="Uniform Inputs",INDEX($D$45:$E$53,MATCH($BK$3,$B$45:$B$53,0),MATCH(BN$4,$D$44:$E$44,0)),IF(BS12=0,"",BS12))),"")</f>
        <v>1000000000</v>
      </c>
      <c r="BO12" s="10">
        <f t="shared" ca="1" si="13"/>
        <v>0.10287989756722149</v>
      </c>
      <c r="BP12" s="11" t="s">
        <v>22</v>
      </c>
      <c r="BQ12" s="168">
        <v>46961</v>
      </c>
      <c r="BR12" s="11">
        <v>110000000</v>
      </c>
      <c r="BS12" s="11">
        <v>1000000000</v>
      </c>
      <c r="BT12" s="139" t="str">
        <f t="shared" si="30"/>
        <v/>
      </c>
      <c r="BU12" s="112">
        <f t="shared" si="14"/>
        <v>47508.5</v>
      </c>
      <c r="BV12" s="139">
        <f>IFERROR(IF($Z12&gt;$E$12,"",IF($E$5="Uniform Inputs",INDEX($D$45:$E$53,MATCH($BT$3,$B$45:$B$53,0),MATCH(BV$4,$D$44:$E$44,0)),IF(CA12=0,"",CA12))),"")</f>
        <v>150000000</v>
      </c>
      <c r="BW12" s="139">
        <f>IFERROR(IF($Z12&gt;$E$12,"",IF($E$5="Uniform Inputs",INDEX($D$45:$E$53,MATCH($BT$3,$B$45:$B$53,0),MATCH(BW$4,$D$44:$E$44,0)),IF(CB12=0,"",CB12))),"")</f>
        <v>1300000000</v>
      </c>
      <c r="BX12" s="10">
        <f t="shared" ca="1" si="15"/>
        <v>9.1009140155619006E-2</v>
      </c>
      <c r="BY12" s="11" t="s">
        <v>22</v>
      </c>
      <c r="BZ12" s="168">
        <v>47508.5</v>
      </c>
      <c r="CA12" s="11">
        <v>150000000</v>
      </c>
      <c r="CB12" s="11">
        <v>1300000000</v>
      </c>
      <c r="CC12" s="139" t="str">
        <f t="shared" si="31"/>
        <v/>
      </c>
      <c r="CD12" s="112">
        <f t="shared" si="16"/>
        <v>48056</v>
      </c>
      <c r="CE12" s="139">
        <f>IFERROR(IF($Z12&gt;$E$12,"",IF($E$5="Uniform Inputs",INDEX($D$45:$E$53,MATCH($CC$3,$B$45:$B$53,0),MATCH(CE$4,$D$44:$E$44,0)),IF(CJ12=0,"",CJ12))),"")</f>
        <v>200000000</v>
      </c>
      <c r="CF12" s="139">
        <f>IFERROR(IF($Z12&gt;$E$12,"",IF($E$5="Uniform Inputs",INDEX($D$45:$E$53,MATCH($CC$3,$B$45:$B$53,0),MATCH(CF$4,$D$44:$E$44,0)),IF(CK12=0,"",CK12))),"")</f>
        <v>2300000000</v>
      </c>
      <c r="CG12" s="10">
        <f t="shared" ca="1" si="17"/>
        <v>8.3095301881217346E-2</v>
      </c>
      <c r="CH12" s="11" t="s">
        <v>22</v>
      </c>
      <c r="CI12" s="168">
        <v>48056</v>
      </c>
      <c r="CJ12" s="11">
        <v>200000000</v>
      </c>
      <c r="CK12" s="11">
        <v>2300000000</v>
      </c>
      <c r="CL12" s="139" t="str">
        <f t="shared" si="32"/>
        <v/>
      </c>
      <c r="CM12" s="112">
        <f t="shared" si="18"/>
        <v>48603.5</v>
      </c>
      <c r="CN12" s="139">
        <f>IFERROR(IF($Z12&gt;$E$12,"",IF($E$5="Uniform Inputs",INDEX($D$45:$E$53,MATCH($CL$3,$B$45:$B$53,0),MATCH(CN$4,$D$44:$E$44,0)),IF(CS12=0,"",CS12))),"")</f>
        <v>275000000</v>
      </c>
      <c r="CO12" s="139">
        <f>IFERROR(IF($Z12&gt;$E$12,"",IF($E$5="Uniform Inputs",INDEX($D$45:$E$53,MATCH($CL$3,$B$45:$B$53,0),MATCH(CO$4,$D$44:$E$44,0)),IF(CT12=0,"",CT12))),"")</f>
        <v>3000000000</v>
      </c>
      <c r="CP12" s="10">
        <f t="shared" ca="1" si="19"/>
        <v>7.5478232542105755E-2</v>
      </c>
      <c r="CQ12" s="11" t="s">
        <v>22</v>
      </c>
      <c r="CR12" s="168">
        <v>48603.5</v>
      </c>
      <c r="CS12" s="11">
        <v>275000000</v>
      </c>
      <c r="CT12" s="11">
        <v>3000000000</v>
      </c>
      <c r="CU12" s="139" t="str">
        <f t="shared" si="33"/>
        <v/>
      </c>
      <c r="CV12" s="112">
        <f t="shared" si="20"/>
        <v>49151</v>
      </c>
      <c r="CW12" s="139" t="str">
        <f>IFERROR(IF($Z12&gt;$E$12,"",IF($E$5="Uniform Inputs",INDEX($D$45:$E$53,MATCH($CU$3,$B$45:$B$53,0),MATCH(CW$4,$D$44:$E$44,0)),IF(DB12=0,"",DB12))),"")</f>
        <v/>
      </c>
      <c r="CX12" s="139" t="str">
        <f>IFERROR(IF($Z12&gt;$E$12,"",IF($E$5="Uniform Inputs",INDEX($D$45:$E$53,MATCH($CU$3,$B$45:$B$53,0),MATCH(CX$4,$D$44:$E$44,0)),IF(DC12=0,"",DC12))),"")</f>
        <v/>
      </c>
      <c r="CY12" s="10" t="str">
        <f t="shared" ca="1" si="21"/>
        <v/>
      </c>
      <c r="CZ12" s="11" t="s">
        <v>22</v>
      </c>
      <c r="DA12" s="168">
        <v>49151</v>
      </c>
      <c r="DB12" s="11" t="s">
        <v>22</v>
      </c>
      <c r="DC12" s="11" t="s">
        <v>22</v>
      </c>
    </row>
    <row r="13" spans="1:107" x14ac:dyDescent="0.25">
      <c r="B13" s="116" t="s">
        <v>87</v>
      </c>
      <c r="C13" s="114"/>
      <c r="D13" s="115"/>
      <c r="E13" s="120">
        <v>12</v>
      </c>
      <c r="G13" s="74" t="s">
        <v>30</v>
      </c>
      <c r="H13" s="55"/>
      <c r="I13" s="56"/>
      <c r="K13" s="6">
        <f t="shared" si="22"/>
        <v>8</v>
      </c>
      <c r="L13" s="32">
        <v>150000000</v>
      </c>
      <c r="M13" s="141" t="s">
        <v>8</v>
      </c>
      <c r="O13" s="6">
        <f t="shared" si="23"/>
        <v>8</v>
      </c>
      <c r="P13" s="35" t="str">
        <f t="shared" ca="1" si="0"/>
        <v>Seed</v>
      </c>
      <c r="Q13" s="102">
        <f t="shared" ca="1" si="1"/>
        <v>0.18181818181818182</v>
      </c>
      <c r="R13" s="102">
        <f t="shared" ca="1" si="2"/>
        <v>0.11559539052496796</v>
      </c>
      <c r="S13" s="112">
        <f t="shared" si="24"/>
        <v>44801</v>
      </c>
      <c r="T13" s="112">
        <f t="shared" ca="1" si="3"/>
        <v>46991</v>
      </c>
      <c r="U13" s="1">
        <f t="shared" ca="1" si="25"/>
        <v>4181818.1818181816</v>
      </c>
      <c r="V13" s="1">
        <f t="shared" ca="1" si="4"/>
        <v>17339308.578745194</v>
      </c>
      <c r="W13" s="34">
        <f t="shared" ca="1" si="26"/>
        <v>4.1463563992651551</v>
      </c>
      <c r="Y13" s="2">
        <v>8</v>
      </c>
      <c r="Z13" s="6">
        <f t="shared" si="27"/>
        <v>8</v>
      </c>
      <c r="AA13" s="139">
        <f ca="1">IF($E$5="Uniform Inputs",IF($Z13&gt;$E$12,"",MIN($E$21,($I$5+'Cash Flows'!$BX$8+INDEX('Cash Flows'!$C$19:$BW$19,1,MATCH(EOMONTH(AB13,MOD(-MONTH(AB13),3)-3),'Cash Flows'!$C$4:$BW$4,0)))/$E$12)),IF(AF13&gt;0,AF13,""))</f>
        <v>2000000</v>
      </c>
      <c r="AB13" s="112">
        <f t="shared" si="28"/>
        <v>44801</v>
      </c>
      <c r="AC13" s="139">
        <f>IFERROR(IF($Z13&gt;$E$12,"",IF($E$5="Uniform Inputs",INDEX($D$45:$E$53,MATCH($AA$3,$B$45:$B$53,0),MATCH(AC$4,$D$44:$E$44,0)),IF(AH13=0,"",AH13))),"")</f>
        <v>3000000</v>
      </c>
      <c r="AD13" s="139">
        <f>IFERROR(IF($Z13&gt;$E$12,"",IF($E$5="Uniform Inputs",INDEX($D$45:$E$53,MATCH($AA$3,$B$45:$B$53,0),MATCH(AD$4,$D$44:$E$44,0)),IF(AI13=0,"",AI13))),"")</f>
        <v>11000000</v>
      </c>
      <c r="AE13" s="10">
        <f t="shared" ca="1" si="29"/>
        <v>0.18181818181818182</v>
      </c>
      <c r="AF13" s="11">
        <v>2000000</v>
      </c>
      <c r="AG13" s="168">
        <v>44801</v>
      </c>
      <c r="AH13" s="11">
        <v>3000000</v>
      </c>
      <c r="AI13" s="11">
        <v>11000000</v>
      </c>
      <c r="AJ13" s="139">
        <f ca="1">IF($E$5="Uniform Inputs",IF($Z13&gt;$E$13,"",IF($E$23="Pro-Rata",MIN(AL13*AE13,(($I$5+'Cash Flows'!$BX$8+INDEX('Cash Flows'!$C$19:$BW$19,1,MATCH(EOMONTH(AK13,MOD(-MONTH(AK13),3)-3),'Cash Flows'!$C$4:$BW$4,0)))-$AA$5)/$E$13),MIN($E$24,(($I$5+'Cash Flows'!$BX$8+INDEX('Cash Flows'!$C$19:$BW$19,1,MATCH(EOMONTH(AK13,MOD(-MONTH(AK13),3)-3),'Cash Flows'!$C$4:$BW$4,0)))-$AA$5)/$E$13))),IF(AO13=0,"",AO13))</f>
        <v>2181818.1818181816</v>
      </c>
      <c r="AK13" s="112">
        <f t="shared" si="6"/>
        <v>45348.5</v>
      </c>
      <c r="AL13" s="139">
        <f>IFERROR(IF($Z13&gt;$E$12,"",IF($E$5="Uniform Inputs",INDEX($D$45:$E$53,MATCH($AJ$3,$B$45:$B$53,0),MATCH(AL$4,$D$44:$E$44,0)),IF(AQ13=0,"",AQ13))),"")</f>
        <v>12000000</v>
      </c>
      <c r="AM13" s="139">
        <f>IFERROR(IF($Z13&gt;$E$12,"",IF($E$5="Uniform Inputs",INDEX($D$45:$E$53,MATCH($AJ$3,$B$45:$B$53,0),MATCH(AM$4,$D$44:$E$44,0)),IF(AR13=0,"",AR13))),"")</f>
        <v>48000000</v>
      </c>
      <c r="AN13" s="10">
        <f t="shared" ca="1" si="7"/>
        <v>0.1818181818181818</v>
      </c>
      <c r="AO13" s="11">
        <v>2181818.1818181816</v>
      </c>
      <c r="AP13" s="168">
        <v>45348.5</v>
      </c>
      <c r="AQ13" s="11">
        <v>12000000</v>
      </c>
      <c r="AR13" s="11">
        <v>48000000</v>
      </c>
      <c r="AS13" s="139" t="str">
        <f>IF($E$5="Uniform Inputs",IF($Z13&gt;$E$14,"",IF($E$23="Pro-Rata",MIN(AU13*AN13,(($I$5+'Cash Flows'!$BX$8+INDEX('Cash Flows'!$C$19:$BW$19,1,MATCH(EOMONTH(AT13,MOD(-MONTH(AT13),3)-3),'Cash Flows'!$C$4:$BW$4,0)))-SUM($AJ$5,$AA$5))/$E$14),MIN($E$25,(($I$5+'Cash Flows'!$BX$8+INDEX('Cash Flows'!$C$19:$BW$19,1,MATCH(EOMONTH(AT13,MOD(-MONTH(AT13),3)-3),'Cash Flows'!$C$4:$BW$4,0)))-SUM($AJ$5,$AA$5))/$E$14))),IF(AX13=0,"",AX13))</f>
        <v/>
      </c>
      <c r="AT13" s="112">
        <f t="shared" si="8"/>
        <v>45896</v>
      </c>
      <c r="AU13" s="139">
        <f>IFERROR(IF($Z13&gt;$E$12,"",IF($E$5="Uniform Inputs",INDEX($D$45:$E$53,MATCH($AS$3,$B$45:$B$53,0),MATCH(AU$4,$D$44:$E$44,0)),IF(AZ13=0,"",AZ13))),"")</f>
        <v>31000000</v>
      </c>
      <c r="AV13" s="139">
        <f>IFERROR(IF($Z13&gt;$E$12,"",IF($E$5="Uniform Inputs",INDEX($D$45:$E$53,MATCH($AS$3,$B$45:$B$53,0),MATCH(AV$4,$D$44:$E$44,0)),IF(BA13=0,"",BA13))),"")</f>
        <v>142000000</v>
      </c>
      <c r="AW13" s="10">
        <f t="shared" ca="1" si="9"/>
        <v>0.14212548015364915</v>
      </c>
      <c r="AX13" s="11" t="s">
        <v>22</v>
      </c>
      <c r="AY13" s="168">
        <v>45896</v>
      </c>
      <c r="AZ13" s="11">
        <v>31000000</v>
      </c>
      <c r="BA13" s="11">
        <v>142000000</v>
      </c>
      <c r="BB13" s="139" t="str">
        <f>IF($E$5="Uniform Inputs",IF($Z13&gt;$E$15,"",IF($E$23="Pro-Rata",MIN(BD13*AW13,(($I$5+'Cash Flows'!$BX$8+INDEX('Cash Flows'!$C$19:$BW$19,1,MATCH(EOMONTH(BC13,MOD(-MONTH(BC13),3)-3),'Cash Flows'!$C$4:$BW$4,0)))-SUM($AS$5,$AJ$5,$AA$5))/$E$15),MIN($E$26,(($I$5+'Cash Flows'!$BX$8+INDEX('Cash Flows'!$C$19:$BW$19,1,MATCH(EOMONTH(BC13,MOD(-MONTH(BC13),3)-3),'Cash Flows'!$C$4:$BW$4,0)))-SUM($AS$5,$AJ$5,$AA$5))/$E$15))),IF(BG13=0,"",BG13))</f>
        <v/>
      </c>
      <c r="BC13" s="112">
        <f t="shared" si="10"/>
        <v>46443.5</v>
      </c>
      <c r="BD13" s="139">
        <f>IFERROR(IF($Z13&gt;$E$12,"",IF($E$5="Uniform Inputs",INDEX($D$45:$E$53,MATCH($BB$3,$B$45:$B$53,0),MATCH(BD$4,$D$44:$E$44,0)),IF(BI13=0,"",BI13))),"")</f>
        <v>70000000</v>
      </c>
      <c r="BE13" s="139">
        <f>IFERROR(IF($Z13&gt;$E$12,"",IF($E$5="Uniform Inputs",INDEX($D$45:$E$53,MATCH($BB$3,$B$45:$B$53,0),MATCH(BE$4,$D$44:$E$44,0)),IF(BJ13=0,"",BJ13))),"")</f>
        <v>375000000</v>
      </c>
      <c r="BF13" s="10">
        <f t="shared" ca="1" si="11"/>
        <v>0.11559539052496796</v>
      </c>
      <c r="BG13" s="11" t="s">
        <v>22</v>
      </c>
      <c r="BH13" s="168">
        <v>46443.5</v>
      </c>
      <c r="BI13" s="11">
        <v>70000000</v>
      </c>
      <c r="BJ13" s="11">
        <v>375000000</v>
      </c>
      <c r="BK13" s="139" t="str">
        <f>IF($E$5="Uniform Inputs",IF($Z13&gt;$E$16,"",IF($E$23="Pro-Rata",MIN(BM13*BF13,(($I$5+'Cash Flows'!$BX$8+INDEX('Cash Flows'!$C$19:$BW$19,1,MATCH(EOMONTH(BL13,MOD(-MONTH(BL13),3)-3),'Cash Flows'!$C$4:$BW$4,0)))-SUM($BB$5,$AS$5,$AJ$5,$AA$5))/$E$16),MIN($E$27,(($I$5+'Cash Flows'!$BX$8+INDEX('Cash Flows'!$C$19:$BW$19,1,MATCH(EOMONTH(BL13,MOD(-MONTH(BL13),3)-3),'Cash Flows'!$C$4:$BW$4,0)))-SUM($BB$5,$AS$5,$AJ$5,$AA$5))/$E$16))),IF(BP13=0,"",BP13))</f>
        <v/>
      </c>
      <c r="BL13" s="112">
        <f t="shared" si="12"/>
        <v>46991</v>
      </c>
      <c r="BM13" s="139">
        <f>IFERROR(IF($Z13&gt;$E$12,"",IF($E$5="Uniform Inputs",INDEX($D$45:$E$53,MATCH($BK$3,$B$45:$B$53,0),MATCH(BM$4,$D$44:$E$44,0)),IF(BR13=0,"",BR13))),"")</f>
        <v>110000000</v>
      </c>
      <c r="BN13" s="139">
        <f>IFERROR(IF($Z13&gt;$E$12,"",IF($E$5="Uniform Inputs",INDEX($D$45:$E$53,MATCH($BK$3,$B$45:$B$53,0),MATCH(BN$4,$D$44:$E$44,0)),IF(BS13=0,"",BS13))),"")</f>
        <v>1000000000</v>
      </c>
      <c r="BO13" s="10">
        <f t="shared" ca="1" si="13"/>
        <v>0.10287989756722149</v>
      </c>
      <c r="BP13" s="11" t="s">
        <v>22</v>
      </c>
      <c r="BQ13" s="168">
        <v>46991</v>
      </c>
      <c r="BR13" s="11">
        <v>110000000</v>
      </c>
      <c r="BS13" s="11">
        <v>1000000000</v>
      </c>
      <c r="BT13" s="139" t="str">
        <f t="shared" si="30"/>
        <v/>
      </c>
      <c r="BU13" s="112">
        <f t="shared" si="14"/>
        <v>47538.5</v>
      </c>
      <c r="BV13" s="139">
        <f>IFERROR(IF($Z13&gt;$E$12,"",IF($E$5="Uniform Inputs",INDEX($D$45:$E$53,MATCH($BT$3,$B$45:$B$53,0),MATCH(BV$4,$D$44:$E$44,0)),IF(CA13=0,"",CA13))),"")</f>
        <v>150000000</v>
      </c>
      <c r="BW13" s="139">
        <f>IFERROR(IF($Z13&gt;$E$12,"",IF($E$5="Uniform Inputs",INDEX($D$45:$E$53,MATCH($BT$3,$B$45:$B$53,0),MATCH(BW$4,$D$44:$E$44,0)),IF(CB13=0,"",CB13))),"")</f>
        <v>1300000000</v>
      </c>
      <c r="BX13" s="10">
        <f t="shared" ca="1" si="15"/>
        <v>9.1009140155619006E-2</v>
      </c>
      <c r="BY13" s="11" t="s">
        <v>22</v>
      </c>
      <c r="BZ13" s="168">
        <v>47538.5</v>
      </c>
      <c r="CA13" s="11">
        <v>150000000</v>
      </c>
      <c r="CB13" s="11">
        <v>1300000000</v>
      </c>
      <c r="CC13" s="139" t="str">
        <f t="shared" si="31"/>
        <v/>
      </c>
      <c r="CD13" s="112">
        <f t="shared" si="16"/>
        <v>48086</v>
      </c>
      <c r="CE13" s="139">
        <f>IFERROR(IF($Z13&gt;$E$12,"",IF($E$5="Uniform Inputs",INDEX($D$45:$E$53,MATCH($CC$3,$B$45:$B$53,0),MATCH(CE$4,$D$44:$E$44,0)),IF(CJ13=0,"",CJ13))),"")</f>
        <v>200000000</v>
      </c>
      <c r="CF13" s="139">
        <f>IFERROR(IF($Z13&gt;$E$12,"",IF($E$5="Uniform Inputs",INDEX($D$45:$E$53,MATCH($CC$3,$B$45:$B$53,0),MATCH(CF$4,$D$44:$E$44,0)),IF(CK13=0,"",CK13))),"")</f>
        <v>2300000000</v>
      </c>
      <c r="CG13" s="10">
        <f t="shared" ca="1" si="17"/>
        <v>8.3095301881217346E-2</v>
      </c>
      <c r="CH13" s="11" t="s">
        <v>22</v>
      </c>
      <c r="CI13" s="168">
        <v>48086</v>
      </c>
      <c r="CJ13" s="11">
        <v>200000000</v>
      </c>
      <c r="CK13" s="11">
        <v>2300000000</v>
      </c>
      <c r="CL13" s="139" t="str">
        <f t="shared" si="32"/>
        <v/>
      </c>
      <c r="CM13" s="112">
        <f t="shared" si="18"/>
        <v>48633.5</v>
      </c>
      <c r="CN13" s="139">
        <f>IFERROR(IF($Z13&gt;$E$12,"",IF($E$5="Uniform Inputs",INDEX($D$45:$E$53,MATCH($CL$3,$B$45:$B$53,0),MATCH(CN$4,$D$44:$E$44,0)),IF(CS13=0,"",CS13))),"")</f>
        <v>275000000</v>
      </c>
      <c r="CO13" s="139">
        <f>IFERROR(IF($Z13&gt;$E$12,"",IF($E$5="Uniform Inputs",INDEX($D$45:$E$53,MATCH($CL$3,$B$45:$B$53,0),MATCH(CO$4,$D$44:$E$44,0)),IF(CT13=0,"",CT13))),"")</f>
        <v>3000000000</v>
      </c>
      <c r="CP13" s="10">
        <f t="shared" ca="1" si="19"/>
        <v>7.5478232542105755E-2</v>
      </c>
      <c r="CQ13" s="11" t="s">
        <v>22</v>
      </c>
      <c r="CR13" s="168">
        <v>48633.5</v>
      </c>
      <c r="CS13" s="11">
        <v>275000000</v>
      </c>
      <c r="CT13" s="11">
        <v>3000000000</v>
      </c>
      <c r="CU13" s="139" t="str">
        <f t="shared" si="33"/>
        <v/>
      </c>
      <c r="CV13" s="112">
        <f t="shared" si="20"/>
        <v>49181</v>
      </c>
      <c r="CW13" s="139" t="str">
        <f>IFERROR(IF($Z13&gt;$E$12,"",IF($E$5="Uniform Inputs",INDEX($D$45:$E$53,MATCH($CU$3,$B$45:$B$53,0),MATCH(CW$4,$D$44:$E$44,0)),IF(DB13=0,"",DB13))),"")</f>
        <v/>
      </c>
      <c r="CX13" s="139" t="str">
        <f>IFERROR(IF($Z13&gt;$E$12,"",IF($E$5="Uniform Inputs",INDEX($D$45:$E$53,MATCH($CU$3,$B$45:$B$53,0),MATCH(CX$4,$D$44:$E$44,0)),IF(DC13=0,"",DC13))),"")</f>
        <v/>
      </c>
      <c r="CY13" s="10" t="str">
        <f t="shared" ca="1" si="21"/>
        <v/>
      </c>
      <c r="CZ13" s="11" t="s">
        <v>22</v>
      </c>
      <c r="DA13" s="168">
        <v>49181</v>
      </c>
      <c r="DB13" s="11" t="s">
        <v>22</v>
      </c>
      <c r="DC13" s="11" t="s">
        <v>22</v>
      </c>
    </row>
    <row r="14" spans="1:107" x14ac:dyDescent="0.25">
      <c r="B14" s="116" t="s">
        <v>88</v>
      </c>
      <c r="C14" s="114"/>
      <c r="D14" s="115"/>
      <c r="E14" s="120">
        <v>5</v>
      </c>
      <c r="G14" s="44" t="s">
        <v>129</v>
      </c>
      <c r="H14" s="3"/>
      <c r="I14" s="110">
        <f ca="1">W5</f>
        <v>6.3330910277515908</v>
      </c>
      <c r="K14" s="6">
        <f t="shared" si="22"/>
        <v>9</v>
      </c>
      <c r="L14" s="32">
        <v>100000000</v>
      </c>
      <c r="M14" s="141" t="s">
        <v>8</v>
      </c>
      <c r="O14" s="6">
        <f t="shared" si="23"/>
        <v>9</v>
      </c>
      <c r="P14" s="35" t="str">
        <f t="shared" ca="1" si="0"/>
        <v>Seed</v>
      </c>
      <c r="Q14" s="102">
        <f t="shared" ca="1" si="1"/>
        <v>0.18181818181818182</v>
      </c>
      <c r="R14" s="102">
        <f t="shared" ca="1" si="2"/>
        <v>0.11559539052496796</v>
      </c>
      <c r="S14" s="112">
        <f t="shared" si="24"/>
        <v>44831</v>
      </c>
      <c r="T14" s="112">
        <f t="shared" ca="1" si="3"/>
        <v>47021</v>
      </c>
      <c r="U14" s="1">
        <f t="shared" ca="1" si="25"/>
        <v>4181818.1818181816</v>
      </c>
      <c r="V14" s="1">
        <f t="shared" ca="1" si="4"/>
        <v>11559539.052496796</v>
      </c>
      <c r="W14" s="34">
        <f t="shared" ca="1" si="26"/>
        <v>2.7642375995101038</v>
      </c>
      <c r="Y14" s="2">
        <v>9</v>
      </c>
      <c r="Z14" s="6">
        <f t="shared" si="27"/>
        <v>9</v>
      </c>
      <c r="AA14" s="139">
        <f ca="1">IF($E$5="Uniform Inputs",IF($Z14&gt;$E$12,"",MIN($E$21,($I$5+'Cash Flows'!$BX$8+INDEX('Cash Flows'!$C$19:$BW$19,1,MATCH(EOMONTH(AB14,MOD(-MONTH(AB14),3)-3),'Cash Flows'!$C$4:$BW$4,0)))/$E$12)),IF(AF14&gt;0,AF14,""))</f>
        <v>2000000</v>
      </c>
      <c r="AB14" s="112">
        <f t="shared" si="28"/>
        <v>44831</v>
      </c>
      <c r="AC14" s="139">
        <f>IFERROR(IF($Z14&gt;$E$12,"",IF($E$5="Uniform Inputs",INDEX($D$45:$E$53,MATCH($AA$3,$B$45:$B$53,0),MATCH(AC$4,$D$44:$E$44,0)),IF(AH14=0,"",AH14))),"")</f>
        <v>3000000</v>
      </c>
      <c r="AD14" s="139">
        <f>IFERROR(IF($Z14&gt;$E$12,"",IF($E$5="Uniform Inputs",INDEX($D$45:$E$53,MATCH($AA$3,$B$45:$B$53,0),MATCH(AD$4,$D$44:$E$44,0)),IF(AI14=0,"",AI14))),"")</f>
        <v>11000000</v>
      </c>
      <c r="AE14" s="10">
        <f t="shared" ca="1" si="29"/>
        <v>0.18181818181818182</v>
      </c>
      <c r="AF14" s="11">
        <v>2000000</v>
      </c>
      <c r="AG14" s="168">
        <v>44831</v>
      </c>
      <c r="AH14" s="11">
        <v>3000000</v>
      </c>
      <c r="AI14" s="11">
        <v>11000000</v>
      </c>
      <c r="AJ14" s="139">
        <f ca="1">IF($E$5="Uniform Inputs",IF($Z14&gt;$E$13,"",IF($E$23="Pro-Rata",MIN(AL14*AE14,(($I$5+'Cash Flows'!$BX$8+INDEX('Cash Flows'!$C$19:$BW$19,1,MATCH(EOMONTH(AK14,MOD(-MONTH(AK14),3)-3),'Cash Flows'!$C$4:$BW$4,0)))-$AA$5)/$E$13),MIN($E$24,(($I$5+'Cash Flows'!$BX$8+INDEX('Cash Flows'!$C$19:$BW$19,1,MATCH(EOMONTH(AK14,MOD(-MONTH(AK14),3)-3),'Cash Flows'!$C$4:$BW$4,0)))-$AA$5)/$E$13))),IF(AO14=0,"",AO14))</f>
        <v>2181818.1818181816</v>
      </c>
      <c r="AK14" s="112">
        <f t="shared" si="6"/>
        <v>45378.5</v>
      </c>
      <c r="AL14" s="139">
        <f>IFERROR(IF($Z14&gt;$E$12,"",IF($E$5="Uniform Inputs",INDEX($D$45:$E$53,MATCH($AJ$3,$B$45:$B$53,0),MATCH(AL$4,$D$44:$E$44,0)),IF(AQ14=0,"",AQ14))),"")</f>
        <v>12000000</v>
      </c>
      <c r="AM14" s="139">
        <f>IFERROR(IF($Z14&gt;$E$12,"",IF($E$5="Uniform Inputs",INDEX($D$45:$E$53,MATCH($AJ$3,$B$45:$B$53,0),MATCH(AM$4,$D$44:$E$44,0)),IF(AR14=0,"",AR14))),"")</f>
        <v>48000000</v>
      </c>
      <c r="AN14" s="10">
        <f t="shared" ca="1" si="7"/>
        <v>0.1818181818181818</v>
      </c>
      <c r="AO14" s="11">
        <v>2181818.1818181816</v>
      </c>
      <c r="AP14" s="168">
        <v>45378.5</v>
      </c>
      <c r="AQ14" s="11">
        <v>12000000</v>
      </c>
      <c r="AR14" s="11">
        <v>48000000</v>
      </c>
      <c r="AS14" s="139" t="str">
        <f>IF($E$5="Uniform Inputs",IF($Z14&gt;$E$14,"",IF($E$23="Pro-Rata",MIN(AU14*AN14,(($I$5+'Cash Flows'!$BX$8+INDEX('Cash Flows'!$C$19:$BW$19,1,MATCH(EOMONTH(AT14,MOD(-MONTH(AT14),3)-3),'Cash Flows'!$C$4:$BW$4,0)))-SUM($AJ$5,$AA$5))/$E$14),MIN($E$25,(($I$5+'Cash Flows'!$BX$8+INDEX('Cash Flows'!$C$19:$BW$19,1,MATCH(EOMONTH(AT14,MOD(-MONTH(AT14),3)-3),'Cash Flows'!$C$4:$BW$4,0)))-SUM($AJ$5,$AA$5))/$E$14))),IF(AX14=0,"",AX14))</f>
        <v/>
      </c>
      <c r="AT14" s="112">
        <f t="shared" si="8"/>
        <v>45926</v>
      </c>
      <c r="AU14" s="139">
        <f>IFERROR(IF($Z14&gt;$E$12,"",IF($E$5="Uniform Inputs",INDEX($D$45:$E$53,MATCH($AS$3,$B$45:$B$53,0),MATCH(AU$4,$D$44:$E$44,0)),IF(AZ14=0,"",AZ14))),"")</f>
        <v>31000000</v>
      </c>
      <c r="AV14" s="139">
        <f>IFERROR(IF($Z14&gt;$E$12,"",IF($E$5="Uniform Inputs",INDEX($D$45:$E$53,MATCH($AS$3,$B$45:$B$53,0),MATCH(AV$4,$D$44:$E$44,0)),IF(BA14=0,"",BA14))),"")</f>
        <v>142000000</v>
      </c>
      <c r="AW14" s="10">
        <f t="shared" ca="1" si="9"/>
        <v>0.14212548015364915</v>
      </c>
      <c r="AX14" s="11" t="s">
        <v>22</v>
      </c>
      <c r="AY14" s="168">
        <v>45926</v>
      </c>
      <c r="AZ14" s="11">
        <v>31000000</v>
      </c>
      <c r="BA14" s="11">
        <v>142000000</v>
      </c>
      <c r="BB14" s="139" t="str">
        <f>IF($E$5="Uniform Inputs",IF($Z14&gt;$E$15,"",IF($E$23="Pro-Rata",MIN(BD14*AW14,(($I$5+'Cash Flows'!$BX$8+INDEX('Cash Flows'!$C$19:$BW$19,1,MATCH(EOMONTH(BC14,MOD(-MONTH(BC14),3)-3),'Cash Flows'!$C$4:$BW$4,0)))-SUM($AS$5,$AJ$5,$AA$5))/$E$15),MIN($E$26,(($I$5+'Cash Flows'!$BX$8+INDEX('Cash Flows'!$C$19:$BW$19,1,MATCH(EOMONTH(BC14,MOD(-MONTH(BC14),3)-3),'Cash Flows'!$C$4:$BW$4,0)))-SUM($AS$5,$AJ$5,$AA$5))/$E$15))),IF(BG14=0,"",BG14))</f>
        <v/>
      </c>
      <c r="BC14" s="112">
        <f t="shared" si="10"/>
        <v>46473.5</v>
      </c>
      <c r="BD14" s="139">
        <f>IFERROR(IF($Z14&gt;$E$12,"",IF($E$5="Uniform Inputs",INDEX($D$45:$E$53,MATCH($BB$3,$B$45:$B$53,0),MATCH(BD$4,$D$44:$E$44,0)),IF(BI14=0,"",BI14))),"")</f>
        <v>70000000</v>
      </c>
      <c r="BE14" s="139">
        <f>IFERROR(IF($Z14&gt;$E$12,"",IF($E$5="Uniform Inputs",INDEX($D$45:$E$53,MATCH($BB$3,$B$45:$B$53,0),MATCH(BE$4,$D$44:$E$44,0)),IF(BJ14=0,"",BJ14))),"")</f>
        <v>375000000</v>
      </c>
      <c r="BF14" s="10">
        <f t="shared" ca="1" si="11"/>
        <v>0.11559539052496796</v>
      </c>
      <c r="BG14" s="11" t="s">
        <v>22</v>
      </c>
      <c r="BH14" s="168">
        <v>46473.5</v>
      </c>
      <c r="BI14" s="11">
        <v>70000000</v>
      </c>
      <c r="BJ14" s="11">
        <v>375000000</v>
      </c>
      <c r="BK14" s="139" t="str">
        <f>IF($E$5="Uniform Inputs",IF($Z14&gt;$E$16,"",IF($E$23="Pro-Rata",MIN(BM14*BF14,(($I$5+'Cash Flows'!$BX$8+INDEX('Cash Flows'!$C$19:$BW$19,1,MATCH(EOMONTH(BL14,MOD(-MONTH(BL14),3)-3),'Cash Flows'!$C$4:$BW$4,0)))-SUM($BB$5,$AS$5,$AJ$5,$AA$5))/$E$16),MIN($E$27,(($I$5+'Cash Flows'!$BX$8+INDEX('Cash Flows'!$C$19:$BW$19,1,MATCH(EOMONTH(BL14,MOD(-MONTH(BL14),3)-3),'Cash Flows'!$C$4:$BW$4,0)))-SUM($BB$5,$AS$5,$AJ$5,$AA$5))/$E$16))),IF(BP14=0,"",BP14))</f>
        <v/>
      </c>
      <c r="BL14" s="112">
        <f t="shared" si="12"/>
        <v>47021</v>
      </c>
      <c r="BM14" s="139">
        <f>IFERROR(IF($Z14&gt;$E$12,"",IF($E$5="Uniform Inputs",INDEX($D$45:$E$53,MATCH($BK$3,$B$45:$B$53,0),MATCH(BM$4,$D$44:$E$44,0)),IF(BR14=0,"",BR14))),"")</f>
        <v>110000000</v>
      </c>
      <c r="BN14" s="139">
        <f>IFERROR(IF($Z14&gt;$E$12,"",IF($E$5="Uniform Inputs",INDEX($D$45:$E$53,MATCH($BK$3,$B$45:$B$53,0),MATCH(BN$4,$D$44:$E$44,0)),IF(BS14=0,"",BS14))),"")</f>
        <v>1000000000</v>
      </c>
      <c r="BO14" s="10">
        <f t="shared" ca="1" si="13"/>
        <v>0.10287989756722149</v>
      </c>
      <c r="BP14" s="11" t="s">
        <v>22</v>
      </c>
      <c r="BQ14" s="168">
        <v>47021</v>
      </c>
      <c r="BR14" s="11">
        <v>110000000</v>
      </c>
      <c r="BS14" s="11">
        <v>1000000000</v>
      </c>
      <c r="BT14" s="139" t="str">
        <f t="shared" si="30"/>
        <v/>
      </c>
      <c r="BU14" s="112">
        <f t="shared" si="14"/>
        <v>47568.5</v>
      </c>
      <c r="BV14" s="139">
        <f>IFERROR(IF($Z14&gt;$E$12,"",IF($E$5="Uniform Inputs",INDEX($D$45:$E$53,MATCH($BT$3,$B$45:$B$53,0),MATCH(BV$4,$D$44:$E$44,0)),IF(CA14=0,"",CA14))),"")</f>
        <v>150000000</v>
      </c>
      <c r="BW14" s="139">
        <f>IFERROR(IF($Z14&gt;$E$12,"",IF($E$5="Uniform Inputs",INDEX($D$45:$E$53,MATCH($BT$3,$B$45:$B$53,0),MATCH(BW$4,$D$44:$E$44,0)),IF(CB14=0,"",CB14))),"")</f>
        <v>1300000000</v>
      </c>
      <c r="BX14" s="10">
        <f t="shared" ca="1" si="15"/>
        <v>9.1009140155619006E-2</v>
      </c>
      <c r="BY14" s="11" t="s">
        <v>22</v>
      </c>
      <c r="BZ14" s="168">
        <v>47568.5</v>
      </c>
      <c r="CA14" s="11">
        <v>150000000</v>
      </c>
      <c r="CB14" s="11">
        <v>1300000000</v>
      </c>
      <c r="CC14" s="139" t="str">
        <f t="shared" si="31"/>
        <v/>
      </c>
      <c r="CD14" s="112">
        <f t="shared" si="16"/>
        <v>48116</v>
      </c>
      <c r="CE14" s="139">
        <f>IFERROR(IF($Z14&gt;$E$12,"",IF($E$5="Uniform Inputs",INDEX($D$45:$E$53,MATCH($CC$3,$B$45:$B$53,0),MATCH(CE$4,$D$44:$E$44,0)),IF(CJ14=0,"",CJ14))),"")</f>
        <v>200000000</v>
      </c>
      <c r="CF14" s="139">
        <f>IFERROR(IF($Z14&gt;$E$12,"",IF($E$5="Uniform Inputs",INDEX($D$45:$E$53,MATCH($CC$3,$B$45:$B$53,0),MATCH(CF$4,$D$44:$E$44,0)),IF(CK14=0,"",CK14))),"")</f>
        <v>2300000000</v>
      </c>
      <c r="CG14" s="10">
        <f t="shared" ca="1" si="17"/>
        <v>8.3095301881217346E-2</v>
      </c>
      <c r="CH14" s="11" t="s">
        <v>22</v>
      </c>
      <c r="CI14" s="168">
        <v>48116</v>
      </c>
      <c r="CJ14" s="11">
        <v>200000000</v>
      </c>
      <c r="CK14" s="11">
        <v>2300000000</v>
      </c>
      <c r="CL14" s="139" t="str">
        <f t="shared" si="32"/>
        <v/>
      </c>
      <c r="CM14" s="112">
        <f t="shared" si="18"/>
        <v>48663.5</v>
      </c>
      <c r="CN14" s="139">
        <f>IFERROR(IF($Z14&gt;$E$12,"",IF($E$5="Uniform Inputs",INDEX($D$45:$E$53,MATCH($CL$3,$B$45:$B$53,0),MATCH(CN$4,$D$44:$E$44,0)),IF(CS14=0,"",CS14))),"")</f>
        <v>275000000</v>
      </c>
      <c r="CO14" s="139">
        <f>IFERROR(IF($Z14&gt;$E$12,"",IF($E$5="Uniform Inputs",INDEX($D$45:$E$53,MATCH($CL$3,$B$45:$B$53,0),MATCH(CO$4,$D$44:$E$44,0)),IF(CT14=0,"",CT14))),"")</f>
        <v>3000000000</v>
      </c>
      <c r="CP14" s="10">
        <f t="shared" ca="1" si="19"/>
        <v>7.5478232542105755E-2</v>
      </c>
      <c r="CQ14" s="11" t="s">
        <v>22</v>
      </c>
      <c r="CR14" s="168">
        <v>48663.5</v>
      </c>
      <c r="CS14" s="11">
        <v>275000000</v>
      </c>
      <c r="CT14" s="11">
        <v>3000000000</v>
      </c>
      <c r="CU14" s="139" t="str">
        <f t="shared" si="33"/>
        <v/>
      </c>
      <c r="CV14" s="112">
        <f t="shared" si="20"/>
        <v>49211</v>
      </c>
      <c r="CW14" s="139" t="str">
        <f>IFERROR(IF($Z14&gt;$E$12,"",IF($E$5="Uniform Inputs",INDEX($D$45:$E$53,MATCH($CU$3,$B$45:$B$53,0),MATCH(CW$4,$D$44:$E$44,0)),IF(DB14=0,"",DB14))),"")</f>
        <v/>
      </c>
      <c r="CX14" s="139" t="str">
        <f>IFERROR(IF($Z14&gt;$E$12,"",IF($E$5="Uniform Inputs",INDEX($D$45:$E$53,MATCH($CU$3,$B$45:$B$53,0),MATCH(CX$4,$D$44:$E$44,0)),IF(DC14=0,"",DC14))),"")</f>
        <v/>
      </c>
      <c r="CY14" s="10" t="str">
        <f t="shared" ca="1" si="21"/>
        <v/>
      </c>
      <c r="CZ14" s="11" t="s">
        <v>22</v>
      </c>
      <c r="DA14" s="168">
        <v>49211</v>
      </c>
      <c r="DB14" s="11" t="s">
        <v>22</v>
      </c>
      <c r="DC14" s="11" t="s">
        <v>22</v>
      </c>
    </row>
    <row r="15" spans="1:107" x14ac:dyDescent="0.25">
      <c r="B15" s="116" t="s">
        <v>89</v>
      </c>
      <c r="C15" s="114"/>
      <c r="D15" s="115"/>
      <c r="E15" s="120">
        <v>0</v>
      </c>
      <c r="G15" s="44" t="s">
        <v>45</v>
      </c>
      <c r="H15" s="3"/>
      <c r="I15" s="111">
        <f ca="1">-'Cash Flows'!BX13/'Cash Flows'!BX10</f>
        <v>4.4095055334548068</v>
      </c>
      <c r="K15" s="6">
        <f t="shared" si="22"/>
        <v>10</v>
      </c>
      <c r="L15" s="32">
        <v>100000000</v>
      </c>
      <c r="M15" s="141" t="s">
        <v>8</v>
      </c>
      <c r="O15" s="6">
        <f t="shared" si="23"/>
        <v>10</v>
      </c>
      <c r="P15" s="35" t="str">
        <f t="shared" ca="1" si="0"/>
        <v>Seed</v>
      </c>
      <c r="Q15" s="102">
        <f t="shared" ca="1" si="1"/>
        <v>0.18181818181818182</v>
      </c>
      <c r="R15" s="102">
        <f t="shared" ca="1" si="2"/>
        <v>0.11559539052496796</v>
      </c>
      <c r="S15" s="112">
        <f t="shared" si="24"/>
        <v>44861</v>
      </c>
      <c r="T15" s="112">
        <f t="shared" ca="1" si="3"/>
        <v>47051</v>
      </c>
      <c r="U15" s="1">
        <f t="shared" ca="1" si="25"/>
        <v>4181818.1818181816</v>
      </c>
      <c r="V15" s="1">
        <f t="shared" ca="1" si="4"/>
        <v>11559539.052496796</v>
      </c>
      <c r="W15" s="34">
        <f t="shared" ca="1" si="26"/>
        <v>2.7642375995101038</v>
      </c>
      <c r="Y15" s="2">
        <v>10</v>
      </c>
      <c r="Z15" s="6">
        <f t="shared" si="27"/>
        <v>10</v>
      </c>
      <c r="AA15" s="139">
        <f ca="1">IF($E$5="Uniform Inputs",IF($Z15&gt;$E$12,"",MIN($E$21,($I$5+'Cash Flows'!$BX$8+INDEX('Cash Flows'!$C$19:$BW$19,1,MATCH(EOMONTH(AB15,MOD(-MONTH(AB15),3)-3),'Cash Flows'!$C$4:$BW$4,0)))/$E$12)),IF(AF15&gt;0,AF15,""))</f>
        <v>2000000</v>
      </c>
      <c r="AB15" s="112">
        <f t="shared" si="28"/>
        <v>44861</v>
      </c>
      <c r="AC15" s="139">
        <f>IFERROR(IF($Z15&gt;$E$12,"",IF($E$5="Uniform Inputs",INDEX($D$45:$E$53,MATCH($AA$3,$B$45:$B$53,0),MATCH(AC$4,$D$44:$E$44,0)),IF(AH15=0,"",AH15))),"")</f>
        <v>3000000</v>
      </c>
      <c r="AD15" s="139">
        <f>IFERROR(IF($Z15&gt;$E$12,"",IF($E$5="Uniform Inputs",INDEX($D$45:$E$53,MATCH($AA$3,$B$45:$B$53,0),MATCH(AD$4,$D$44:$E$44,0)),IF(AI15=0,"",AI15))),"")</f>
        <v>11000000</v>
      </c>
      <c r="AE15" s="10">
        <f t="shared" ca="1" si="29"/>
        <v>0.18181818181818182</v>
      </c>
      <c r="AF15" s="11">
        <v>2000000</v>
      </c>
      <c r="AG15" s="168">
        <v>44861</v>
      </c>
      <c r="AH15" s="11">
        <v>3000000</v>
      </c>
      <c r="AI15" s="11">
        <v>11000000</v>
      </c>
      <c r="AJ15" s="139">
        <f ca="1">IF($E$5="Uniform Inputs",IF($Z15&gt;$E$13,"",IF($E$23="Pro-Rata",MIN(AL15*AE15,(($I$5+'Cash Flows'!$BX$8+INDEX('Cash Flows'!$C$19:$BW$19,1,MATCH(EOMONTH(AK15,MOD(-MONTH(AK15),3)-3),'Cash Flows'!$C$4:$BW$4,0)))-$AA$5)/$E$13),MIN($E$24,(($I$5+'Cash Flows'!$BX$8+INDEX('Cash Flows'!$C$19:$BW$19,1,MATCH(EOMONTH(AK15,MOD(-MONTH(AK15),3)-3),'Cash Flows'!$C$4:$BW$4,0)))-$AA$5)/$E$13))),IF(AO15=0,"",AO15))</f>
        <v>2181818.1818181816</v>
      </c>
      <c r="AK15" s="112">
        <f t="shared" si="6"/>
        <v>45408.5</v>
      </c>
      <c r="AL15" s="139">
        <f>IFERROR(IF($Z15&gt;$E$12,"",IF($E$5="Uniform Inputs",INDEX($D$45:$E$53,MATCH($AJ$3,$B$45:$B$53,0),MATCH(AL$4,$D$44:$E$44,0)),IF(AQ15=0,"",AQ15))),"")</f>
        <v>12000000</v>
      </c>
      <c r="AM15" s="139">
        <f>IFERROR(IF($Z15&gt;$E$12,"",IF($E$5="Uniform Inputs",INDEX($D$45:$E$53,MATCH($AJ$3,$B$45:$B$53,0),MATCH(AM$4,$D$44:$E$44,0)),IF(AR15=0,"",AR15))),"")</f>
        <v>48000000</v>
      </c>
      <c r="AN15" s="10">
        <f t="shared" ca="1" si="7"/>
        <v>0.1818181818181818</v>
      </c>
      <c r="AO15" s="11">
        <v>2181818.1818181816</v>
      </c>
      <c r="AP15" s="168">
        <v>45408.5</v>
      </c>
      <c r="AQ15" s="11">
        <v>12000000</v>
      </c>
      <c r="AR15" s="11">
        <v>48000000</v>
      </c>
      <c r="AS15" s="139" t="str">
        <f>IF($E$5="Uniform Inputs",IF($Z15&gt;$E$14,"",IF($E$23="Pro-Rata",MIN(AU15*AN15,(($I$5+'Cash Flows'!$BX$8+INDEX('Cash Flows'!$C$19:$BW$19,1,MATCH(EOMONTH(AT15,MOD(-MONTH(AT15),3)-3),'Cash Flows'!$C$4:$BW$4,0)))-SUM($AJ$5,$AA$5))/$E$14),MIN($E$25,(($I$5+'Cash Flows'!$BX$8+INDEX('Cash Flows'!$C$19:$BW$19,1,MATCH(EOMONTH(AT15,MOD(-MONTH(AT15),3)-3),'Cash Flows'!$C$4:$BW$4,0)))-SUM($AJ$5,$AA$5))/$E$14))),IF(AX15=0,"",AX15))</f>
        <v/>
      </c>
      <c r="AT15" s="112">
        <f t="shared" si="8"/>
        <v>45956</v>
      </c>
      <c r="AU15" s="139">
        <f>IFERROR(IF($Z15&gt;$E$12,"",IF($E$5="Uniform Inputs",INDEX($D$45:$E$53,MATCH($AS$3,$B$45:$B$53,0),MATCH(AU$4,$D$44:$E$44,0)),IF(AZ15=0,"",AZ15))),"")</f>
        <v>31000000</v>
      </c>
      <c r="AV15" s="139">
        <f>IFERROR(IF($Z15&gt;$E$12,"",IF($E$5="Uniform Inputs",INDEX($D$45:$E$53,MATCH($AS$3,$B$45:$B$53,0),MATCH(AV$4,$D$44:$E$44,0)),IF(BA15=0,"",BA15))),"")</f>
        <v>142000000</v>
      </c>
      <c r="AW15" s="10">
        <f t="shared" ca="1" si="9"/>
        <v>0.14212548015364915</v>
      </c>
      <c r="AX15" s="11" t="s">
        <v>22</v>
      </c>
      <c r="AY15" s="168">
        <v>45956</v>
      </c>
      <c r="AZ15" s="11">
        <v>31000000</v>
      </c>
      <c r="BA15" s="11">
        <v>142000000</v>
      </c>
      <c r="BB15" s="139" t="str">
        <f>IF($E$5="Uniform Inputs",IF($Z15&gt;$E$15,"",IF($E$23="Pro-Rata",MIN(BD15*AW15,(($I$5+'Cash Flows'!$BX$8+INDEX('Cash Flows'!$C$19:$BW$19,1,MATCH(EOMONTH(BC15,MOD(-MONTH(BC15),3)-3),'Cash Flows'!$C$4:$BW$4,0)))-SUM($AS$5,$AJ$5,$AA$5))/$E$15),MIN($E$26,(($I$5+'Cash Flows'!$BX$8+INDEX('Cash Flows'!$C$19:$BW$19,1,MATCH(EOMONTH(BC15,MOD(-MONTH(BC15),3)-3),'Cash Flows'!$C$4:$BW$4,0)))-SUM($AS$5,$AJ$5,$AA$5))/$E$15))),IF(BG15=0,"",BG15))</f>
        <v/>
      </c>
      <c r="BC15" s="112">
        <f t="shared" si="10"/>
        <v>46503.5</v>
      </c>
      <c r="BD15" s="139">
        <f>IFERROR(IF($Z15&gt;$E$12,"",IF($E$5="Uniform Inputs",INDEX($D$45:$E$53,MATCH($BB$3,$B$45:$B$53,0),MATCH(BD$4,$D$44:$E$44,0)),IF(BI15=0,"",BI15))),"")</f>
        <v>70000000</v>
      </c>
      <c r="BE15" s="139">
        <f>IFERROR(IF($Z15&gt;$E$12,"",IF($E$5="Uniform Inputs",INDEX($D$45:$E$53,MATCH($BB$3,$B$45:$B$53,0),MATCH(BE$4,$D$44:$E$44,0)),IF(BJ15=0,"",BJ15))),"")</f>
        <v>375000000</v>
      </c>
      <c r="BF15" s="10">
        <f t="shared" ca="1" si="11"/>
        <v>0.11559539052496796</v>
      </c>
      <c r="BG15" s="11" t="s">
        <v>22</v>
      </c>
      <c r="BH15" s="168">
        <v>46503.5</v>
      </c>
      <c r="BI15" s="11">
        <v>70000000</v>
      </c>
      <c r="BJ15" s="11">
        <v>375000000</v>
      </c>
      <c r="BK15" s="139" t="str">
        <f>IF($E$5="Uniform Inputs",IF($Z15&gt;$E$16,"",IF($E$23="Pro-Rata",MIN(BM15*BF15,(($I$5+'Cash Flows'!$BX$8+INDEX('Cash Flows'!$C$19:$BW$19,1,MATCH(EOMONTH(BL15,MOD(-MONTH(BL15),3)-3),'Cash Flows'!$C$4:$BW$4,0)))-SUM($BB$5,$AS$5,$AJ$5,$AA$5))/$E$16),MIN($E$27,(($I$5+'Cash Flows'!$BX$8+INDEX('Cash Flows'!$C$19:$BW$19,1,MATCH(EOMONTH(BL15,MOD(-MONTH(BL15),3)-3),'Cash Flows'!$C$4:$BW$4,0)))-SUM($BB$5,$AS$5,$AJ$5,$AA$5))/$E$16))),IF(BP15=0,"",BP15))</f>
        <v/>
      </c>
      <c r="BL15" s="112">
        <f t="shared" si="12"/>
        <v>47051</v>
      </c>
      <c r="BM15" s="139">
        <f>IFERROR(IF($Z15&gt;$E$12,"",IF($E$5="Uniform Inputs",INDEX($D$45:$E$53,MATCH($BK$3,$B$45:$B$53,0),MATCH(BM$4,$D$44:$E$44,0)),IF(BR15=0,"",BR15))),"")</f>
        <v>110000000</v>
      </c>
      <c r="BN15" s="139">
        <f>IFERROR(IF($Z15&gt;$E$12,"",IF($E$5="Uniform Inputs",INDEX($D$45:$E$53,MATCH($BK$3,$B$45:$B$53,0),MATCH(BN$4,$D$44:$E$44,0)),IF(BS15=0,"",BS15))),"")</f>
        <v>1000000000</v>
      </c>
      <c r="BO15" s="10">
        <f t="shared" ca="1" si="13"/>
        <v>0.10287989756722149</v>
      </c>
      <c r="BP15" s="11" t="s">
        <v>22</v>
      </c>
      <c r="BQ15" s="168">
        <v>47051</v>
      </c>
      <c r="BR15" s="11">
        <v>110000000</v>
      </c>
      <c r="BS15" s="11">
        <v>1000000000</v>
      </c>
      <c r="BT15" s="139" t="str">
        <f t="shared" si="30"/>
        <v/>
      </c>
      <c r="BU15" s="112">
        <f t="shared" si="14"/>
        <v>47598.5</v>
      </c>
      <c r="BV15" s="139">
        <f>IFERROR(IF($Z15&gt;$E$12,"",IF($E$5="Uniform Inputs",INDEX($D$45:$E$53,MATCH($BT$3,$B$45:$B$53,0),MATCH(BV$4,$D$44:$E$44,0)),IF(CA15=0,"",CA15))),"")</f>
        <v>150000000</v>
      </c>
      <c r="BW15" s="139">
        <f>IFERROR(IF($Z15&gt;$E$12,"",IF($E$5="Uniform Inputs",INDEX($D$45:$E$53,MATCH($BT$3,$B$45:$B$53,0),MATCH(BW$4,$D$44:$E$44,0)),IF(CB15=0,"",CB15))),"")</f>
        <v>1300000000</v>
      </c>
      <c r="BX15" s="10">
        <f t="shared" ca="1" si="15"/>
        <v>9.1009140155619006E-2</v>
      </c>
      <c r="BY15" s="11" t="s">
        <v>22</v>
      </c>
      <c r="BZ15" s="168">
        <v>47598.5</v>
      </c>
      <c r="CA15" s="11">
        <v>150000000</v>
      </c>
      <c r="CB15" s="11">
        <v>1300000000</v>
      </c>
      <c r="CC15" s="139" t="str">
        <f t="shared" si="31"/>
        <v/>
      </c>
      <c r="CD15" s="112">
        <f t="shared" si="16"/>
        <v>48146</v>
      </c>
      <c r="CE15" s="139">
        <f>IFERROR(IF($Z15&gt;$E$12,"",IF($E$5="Uniform Inputs",INDEX($D$45:$E$53,MATCH($CC$3,$B$45:$B$53,0),MATCH(CE$4,$D$44:$E$44,0)),IF(CJ15=0,"",CJ15))),"")</f>
        <v>200000000</v>
      </c>
      <c r="CF15" s="139">
        <f>IFERROR(IF($Z15&gt;$E$12,"",IF($E$5="Uniform Inputs",INDEX($D$45:$E$53,MATCH($CC$3,$B$45:$B$53,0),MATCH(CF$4,$D$44:$E$44,0)),IF(CK15=0,"",CK15))),"")</f>
        <v>2300000000</v>
      </c>
      <c r="CG15" s="10">
        <f t="shared" ca="1" si="17"/>
        <v>8.3095301881217346E-2</v>
      </c>
      <c r="CH15" s="11" t="s">
        <v>22</v>
      </c>
      <c r="CI15" s="168">
        <v>48146</v>
      </c>
      <c r="CJ15" s="11">
        <v>200000000</v>
      </c>
      <c r="CK15" s="11">
        <v>2300000000</v>
      </c>
      <c r="CL15" s="139" t="str">
        <f t="shared" si="32"/>
        <v/>
      </c>
      <c r="CM15" s="112">
        <f t="shared" si="18"/>
        <v>48693.5</v>
      </c>
      <c r="CN15" s="139">
        <f>IFERROR(IF($Z15&gt;$E$12,"",IF($E$5="Uniform Inputs",INDEX($D$45:$E$53,MATCH($CL$3,$B$45:$B$53,0),MATCH(CN$4,$D$44:$E$44,0)),IF(CS15=0,"",CS15))),"")</f>
        <v>275000000</v>
      </c>
      <c r="CO15" s="139">
        <f>IFERROR(IF($Z15&gt;$E$12,"",IF($E$5="Uniform Inputs",INDEX($D$45:$E$53,MATCH($CL$3,$B$45:$B$53,0),MATCH(CO$4,$D$44:$E$44,0)),IF(CT15=0,"",CT15))),"")</f>
        <v>3000000000</v>
      </c>
      <c r="CP15" s="10">
        <f t="shared" ca="1" si="19"/>
        <v>7.5478232542105755E-2</v>
      </c>
      <c r="CQ15" s="11" t="s">
        <v>22</v>
      </c>
      <c r="CR15" s="168">
        <v>48693.5</v>
      </c>
      <c r="CS15" s="11">
        <v>275000000</v>
      </c>
      <c r="CT15" s="11">
        <v>3000000000</v>
      </c>
      <c r="CU15" s="139" t="str">
        <f t="shared" si="33"/>
        <v/>
      </c>
      <c r="CV15" s="112">
        <f t="shared" si="20"/>
        <v>49241</v>
      </c>
      <c r="CW15" s="139" t="str">
        <f>IFERROR(IF($Z15&gt;$E$12,"",IF($E$5="Uniform Inputs",INDEX($D$45:$E$53,MATCH($CU$3,$B$45:$B$53,0),MATCH(CW$4,$D$44:$E$44,0)),IF(DB15=0,"",DB15))),"")</f>
        <v/>
      </c>
      <c r="CX15" s="139" t="str">
        <f>IFERROR(IF($Z15&gt;$E$12,"",IF($E$5="Uniform Inputs",INDEX($D$45:$E$53,MATCH($CU$3,$B$45:$B$53,0),MATCH(CX$4,$D$44:$E$44,0)),IF(DC15=0,"",DC15))),"")</f>
        <v/>
      </c>
      <c r="CY15" s="10" t="str">
        <f t="shared" ca="1" si="21"/>
        <v/>
      </c>
      <c r="CZ15" s="11" t="s">
        <v>22</v>
      </c>
      <c r="DA15" s="168">
        <v>49241</v>
      </c>
      <c r="DB15" s="11" t="s">
        <v>22</v>
      </c>
      <c r="DC15" s="11" t="s">
        <v>22</v>
      </c>
    </row>
    <row r="16" spans="1:107" x14ac:dyDescent="0.25">
      <c r="B16" s="116" t="s">
        <v>90</v>
      </c>
      <c r="C16" s="114"/>
      <c r="D16" s="115"/>
      <c r="E16" s="120">
        <v>0</v>
      </c>
      <c r="G16" s="44" t="s">
        <v>27</v>
      </c>
      <c r="H16" s="3"/>
      <c r="I16" s="107">
        <f ca="1">XIRR('Cash Flows'!D16:BK16,'Cash Flows'!D4:BK4)</f>
        <v>0.2505647718906403</v>
      </c>
      <c r="K16" s="6">
        <f t="shared" si="22"/>
        <v>11</v>
      </c>
      <c r="L16" s="32">
        <v>50000000</v>
      </c>
      <c r="M16" s="33" t="s">
        <v>8</v>
      </c>
      <c r="O16" s="6">
        <f t="shared" si="23"/>
        <v>11</v>
      </c>
      <c r="P16" s="35" t="str">
        <f t="shared" ca="1" si="0"/>
        <v>Seed</v>
      </c>
      <c r="Q16" s="102">
        <f t="shared" ca="1" si="1"/>
        <v>0.18181818181818182</v>
      </c>
      <c r="R16" s="102">
        <f t="shared" ca="1" si="2"/>
        <v>0.11559539052496796</v>
      </c>
      <c r="S16" s="112">
        <f t="shared" si="24"/>
        <v>44891</v>
      </c>
      <c r="T16" s="112">
        <f t="shared" ca="1" si="3"/>
        <v>47081</v>
      </c>
      <c r="U16" s="1">
        <f t="shared" ca="1" si="25"/>
        <v>4181818.1818181816</v>
      </c>
      <c r="V16" s="1">
        <f t="shared" ca="1" si="4"/>
        <v>5779769.5262483982</v>
      </c>
      <c r="W16" s="34">
        <f t="shared" ca="1" si="26"/>
        <v>1.3821187997550519</v>
      </c>
      <c r="Y16" s="2">
        <v>11</v>
      </c>
      <c r="Z16" s="6">
        <f t="shared" si="27"/>
        <v>11</v>
      </c>
      <c r="AA16" s="139">
        <f ca="1">IF($E$5="Uniform Inputs",IF($Z16&gt;$E$12,"",MIN($E$21,($I$5+'Cash Flows'!$BX$8+INDEX('Cash Flows'!$C$19:$BW$19,1,MATCH(EOMONTH(AB16,MOD(-MONTH(AB16),3)-3),'Cash Flows'!$C$4:$BW$4,0)))/$E$12)),IF(AF16&gt;0,AF16,""))</f>
        <v>2000000</v>
      </c>
      <c r="AB16" s="112">
        <f t="shared" si="28"/>
        <v>44891</v>
      </c>
      <c r="AC16" s="139">
        <f>IFERROR(IF($Z16&gt;$E$12,"",IF($E$5="Uniform Inputs",INDEX($D$45:$E$53,MATCH($AA$3,$B$45:$B$53,0),MATCH(AC$4,$D$44:$E$44,0)),IF(AH16=0,"",AH16))),"")</f>
        <v>3000000</v>
      </c>
      <c r="AD16" s="139">
        <f>IFERROR(IF($Z16&gt;$E$12,"",IF($E$5="Uniform Inputs",INDEX($D$45:$E$53,MATCH($AA$3,$B$45:$B$53,0),MATCH(AD$4,$D$44:$E$44,0)),IF(AI16=0,"",AI16))),"")</f>
        <v>11000000</v>
      </c>
      <c r="AE16" s="10">
        <f t="shared" ca="1" si="29"/>
        <v>0.18181818181818182</v>
      </c>
      <c r="AF16" s="11">
        <v>2000000</v>
      </c>
      <c r="AG16" s="168">
        <v>44891</v>
      </c>
      <c r="AH16" s="11">
        <v>3000000</v>
      </c>
      <c r="AI16" s="11">
        <v>11000000</v>
      </c>
      <c r="AJ16" s="139">
        <f ca="1">IF($E$5="Uniform Inputs",IF($Z16&gt;$E$13,"",IF($E$23="Pro-Rata",MIN(AL16*AE16,(($I$5+'Cash Flows'!$BX$8+INDEX('Cash Flows'!$C$19:$BW$19,1,MATCH(EOMONTH(AK16,MOD(-MONTH(AK16),3)-3),'Cash Flows'!$C$4:$BW$4,0)))-$AA$5)/$E$13),MIN($E$24,(($I$5+'Cash Flows'!$BX$8+INDEX('Cash Flows'!$C$19:$BW$19,1,MATCH(EOMONTH(AK16,MOD(-MONTH(AK16),3)-3),'Cash Flows'!$C$4:$BW$4,0)))-$AA$5)/$E$13))),IF(AO16=0,"",AO16))</f>
        <v>2181818.1818181816</v>
      </c>
      <c r="AK16" s="112">
        <f t="shared" si="6"/>
        <v>45438.5</v>
      </c>
      <c r="AL16" s="139">
        <f>IFERROR(IF($Z16&gt;$E$12,"",IF($E$5="Uniform Inputs",INDEX($D$45:$E$53,MATCH($AJ$3,$B$45:$B$53,0),MATCH(AL$4,$D$44:$E$44,0)),IF(AQ16=0,"",AQ16))),"")</f>
        <v>12000000</v>
      </c>
      <c r="AM16" s="139">
        <f>IFERROR(IF($Z16&gt;$E$12,"",IF($E$5="Uniform Inputs",INDEX($D$45:$E$53,MATCH($AJ$3,$B$45:$B$53,0),MATCH(AM$4,$D$44:$E$44,0)),IF(AR16=0,"",AR16))),"")</f>
        <v>48000000</v>
      </c>
      <c r="AN16" s="10">
        <f t="shared" ca="1" si="7"/>
        <v>0.1818181818181818</v>
      </c>
      <c r="AO16" s="11">
        <v>2181818.1818181816</v>
      </c>
      <c r="AP16" s="168">
        <v>45438.5</v>
      </c>
      <c r="AQ16" s="11">
        <v>12000000</v>
      </c>
      <c r="AR16" s="11">
        <v>48000000</v>
      </c>
      <c r="AS16" s="139" t="str">
        <f>IF($E$5="Uniform Inputs",IF($Z16&gt;$E$14,"",IF($E$23="Pro-Rata",MIN(AU16*AN16,(($I$5+'Cash Flows'!$BX$8+INDEX('Cash Flows'!$C$19:$BW$19,1,MATCH(EOMONTH(AT16,MOD(-MONTH(AT16),3)-3),'Cash Flows'!$C$4:$BW$4,0)))-SUM($AJ$5,$AA$5))/$E$14),MIN($E$25,(($I$5+'Cash Flows'!$BX$8+INDEX('Cash Flows'!$C$19:$BW$19,1,MATCH(EOMONTH(AT16,MOD(-MONTH(AT16),3)-3),'Cash Flows'!$C$4:$BW$4,0)))-SUM($AJ$5,$AA$5))/$E$14))),IF(AX16=0,"",AX16))</f>
        <v/>
      </c>
      <c r="AT16" s="112">
        <f t="shared" si="8"/>
        <v>45986</v>
      </c>
      <c r="AU16" s="139">
        <f>IFERROR(IF($Z16&gt;$E$12,"",IF($E$5="Uniform Inputs",INDEX($D$45:$E$53,MATCH($AS$3,$B$45:$B$53,0),MATCH(AU$4,$D$44:$E$44,0)),IF(AZ16=0,"",AZ16))),"")</f>
        <v>31000000</v>
      </c>
      <c r="AV16" s="139">
        <f>IFERROR(IF($Z16&gt;$E$12,"",IF($E$5="Uniform Inputs",INDEX($D$45:$E$53,MATCH($AS$3,$B$45:$B$53,0),MATCH(AV$4,$D$44:$E$44,0)),IF(BA16=0,"",BA16))),"")</f>
        <v>142000000</v>
      </c>
      <c r="AW16" s="10">
        <f t="shared" ca="1" si="9"/>
        <v>0.14212548015364915</v>
      </c>
      <c r="AX16" s="11" t="s">
        <v>22</v>
      </c>
      <c r="AY16" s="168">
        <v>45986</v>
      </c>
      <c r="AZ16" s="11">
        <v>31000000</v>
      </c>
      <c r="BA16" s="11">
        <v>142000000</v>
      </c>
      <c r="BB16" s="139" t="str">
        <f>IF($E$5="Uniform Inputs",IF($Z16&gt;$E$15,"",IF($E$23="Pro-Rata",MIN(BD16*AW16,(($I$5+'Cash Flows'!$BX$8+INDEX('Cash Flows'!$C$19:$BW$19,1,MATCH(EOMONTH(BC16,MOD(-MONTH(BC16),3)-3),'Cash Flows'!$C$4:$BW$4,0)))-SUM($AS$5,$AJ$5,$AA$5))/$E$15),MIN($E$26,(($I$5+'Cash Flows'!$BX$8+INDEX('Cash Flows'!$C$19:$BW$19,1,MATCH(EOMONTH(BC16,MOD(-MONTH(BC16),3)-3),'Cash Flows'!$C$4:$BW$4,0)))-SUM($AS$5,$AJ$5,$AA$5))/$E$15))),IF(BG16=0,"",BG16))</f>
        <v/>
      </c>
      <c r="BC16" s="112">
        <f t="shared" si="10"/>
        <v>46533.5</v>
      </c>
      <c r="BD16" s="139">
        <f>IFERROR(IF($Z16&gt;$E$12,"",IF($E$5="Uniform Inputs",INDEX($D$45:$E$53,MATCH($BB$3,$B$45:$B$53,0),MATCH(BD$4,$D$44:$E$44,0)),IF(BI16=0,"",BI16))),"")</f>
        <v>70000000</v>
      </c>
      <c r="BE16" s="139">
        <f>IFERROR(IF($Z16&gt;$E$12,"",IF($E$5="Uniform Inputs",INDEX($D$45:$E$53,MATCH($BB$3,$B$45:$B$53,0),MATCH(BE$4,$D$44:$E$44,0)),IF(BJ16=0,"",BJ16))),"")</f>
        <v>375000000</v>
      </c>
      <c r="BF16" s="10">
        <f t="shared" ca="1" si="11"/>
        <v>0.11559539052496796</v>
      </c>
      <c r="BG16" s="11" t="s">
        <v>22</v>
      </c>
      <c r="BH16" s="168">
        <v>46533.5</v>
      </c>
      <c r="BI16" s="11">
        <v>70000000</v>
      </c>
      <c r="BJ16" s="11">
        <v>375000000</v>
      </c>
      <c r="BK16" s="139" t="str">
        <f>IF($E$5="Uniform Inputs",IF($Z16&gt;$E$16,"",IF($E$23="Pro-Rata",MIN(BM16*BF16,(($I$5+'Cash Flows'!$BX$8+INDEX('Cash Flows'!$C$19:$BW$19,1,MATCH(EOMONTH(BL16,MOD(-MONTH(BL16),3)-3),'Cash Flows'!$C$4:$BW$4,0)))-SUM($BB$5,$AS$5,$AJ$5,$AA$5))/$E$16),MIN($E$27,(($I$5+'Cash Flows'!$BX$8+INDEX('Cash Flows'!$C$19:$BW$19,1,MATCH(EOMONTH(BL16,MOD(-MONTH(BL16),3)-3),'Cash Flows'!$C$4:$BW$4,0)))-SUM($BB$5,$AS$5,$AJ$5,$AA$5))/$E$16))),IF(BP16=0,"",BP16))</f>
        <v/>
      </c>
      <c r="BL16" s="112">
        <f t="shared" si="12"/>
        <v>47081</v>
      </c>
      <c r="BM16" s="139">
        <f>IFERROR(IF($Z16&gt;$E$12,"",IF($E$5="Uniform Inputs",INDEX($D$45:$E$53,MATCH($BK$3,$B$45:$B$53,0),MATCH(BM$4,$D$44:$E$44,0)),IF(BR16=0,"",BR16))),"")</f>
        <v>110000000</v>
      </c>
      <c r="BN16" s="139">
        <f>IFERROR(IF($Z16&gt;$E$12,"",IF($E$5="Uniform Inputs",INDEX($D$45:$E$53,MATCH($BK$3,$B$45:$B$53,0),MATCH(BN$4,$D$44:$E$44,0)),IF(BS16=0,"",BS16))),"")</f>
        <v>1000000000</v>
      </c>
      <c r="BO16" s="10">
        <f t="shared" ca="1" si="13"/>
        <v>0.10287989756722149</v>
      </c>
      <c r="BP16" s="11" t="s">
        <v>22</v>
      </c>
      <c r="BQ16" s="168">
        <v>47081</v>
      </c>
      <c r="BR16" s="11">
        <v>110000000</v>
      </c>
      <c r="BS16" s="11">
        <v>1000000000</v>
      </c>
      <c r="BT16" s="139" t="str">
        <f t="shared" si="30"/>
        <v/>
      </c>
      <c r="BU16" s="112">
        <f t="shared" si="14"/>
        <v>47628.5</v>
      </c>
      <c r="BV16" s="139">
        <f>IFERROR(IF($Z16&gt;$E$12,"",IF($E$5="Uniform Inputs",INDEX($D$45:$E$53,MATCH($BT$3,$B$45:$B$53,0),MATCH(BV$4,$D$44:$E$44,0)),IF(CA16=0,"",CA16))),"")</f>
        <v>150000000</v>
      </c>
      <c r="BW16" s="139">
        <f>IFERROR(IF($Z16&gt;$E$12,"",IF($E$5="Uniform Inputs",INDEX($D$45:$E$53,MATCH($BT$3,$B$45:$B$53,0),MATCH(BW$4,$D$44:$E$44,0)),IF(CB16=0,"",CB16))),"")</f>
        <v>1300000000</v>
      </c>
      <c r="BX16" s="10">
        <f t="shared" ca="1" si="15"/>
        <v>9.1009140155619006E-2</v>
      </c>
      <c r="BY16" s="11" t="s">
        <v>22</v>
      </c>
      <c r="BZ16" s="168">
        <v>47628.5</v>
      </c>
      <c r="CA16" s="11">
        <v>150000000</v>
      </c>
      <c r="CB16" s="11">
        <v>1300000000</v>
      </c>
      <c r="CC16" s="139" t="str">
        <f t="shared" si="31"/>
        <v/>
      </c>
      <c r="CD16" s="112">
        <f t="shared" si="16"/>
        <v>48176</v>
      </c>
      <c r="CE16" s="139">
        <f>IFERROR(IF($Z16&gt;$E$12,"",IF($E$5="Uniform Inputs",INDEX($D$45:$E$53,MATCH($CC$3,$B$45:$B$53,0),MATCH(CE$4,$D$44:$E$44,0)),IF(CJ16=0,"",CJ16))),"")</f>
        <v>200000000</v>
      </c>
      <c r="CF16" s="139">
        <f>IFERROR(IF($Z16&gt;$E$12,"",IF($E$5="Uniform Inputs",INDEX($D$45:$E$53,MATCH($CC$3,$B$45:$B$53,0),MATCH(CF$4,$D$44:$E$44,0)),IF(CK16=0,"",CK16))),"")</f>
        <v>2300000000</v>
      </c>
      <c r="CG16" s="10">
        <f t="shared" ca="1" si="17"/>
        <v>8.3095301881217346E-2</v>
      </c>
      <c r="CH16" s="11" t="s">
        <v>22</v>
      </c>
      <c r="CI16" s="168">
        <v>48176</v>
      </c>
      <c r="CJ16" s="11">
        <v>200000000</v>
      </c>
      <c r="CK16" s="11">
        <v>2300000000</v>
      </c>
      <c r="CL16" s="139" t="str">
        <f t="shared" si="32"/>
        <v/>
      </c>
      <c r="CM16" s="112">
        <f t="shared" si="18"/>
        <v>48723.5</v>
      </c>
      <c r="CN16" s="139">
        <f>IFERROR(IF($Z16&gt;$E$12,"",IF($E$5="Uniform Inputs",INDEX($D$45:$E$53,MATCH($CL$3,$B$45:$B$53,0),MATCH(CN$4,$D$44:$E$44,0)),IF(CS16=0,"",CS16))),"")</f>
        <v>275000000</v>
      </c>
      <c r="CO16" s="139">
        <f>IFERROR(IF($Z16&gt;$E$12,"",IF($E$5="Uniform Inputs",INDEX($D$45:$E$53,MATCH($CL$3,$B$45:$B$53,0),MATCH(CO$4,$D$44:$E$44,0)),IF(CT16=0,"",CT16))),"")</f>
        <v>3000000000</v>
      </c>
      <c r="CP16" s="10">
        <f t="shared" ca="1" si="19"/>
        <v>7.5478232542105755E-2</v>
      </c>
      <c r="CQ16" s="11" t="s">
        <v>22</v>
      </c>
      <c r="CR16" s="168">
        <v>48723.5</v>
      </c>
      <c r="CS16" s="11">
        <v>275000000</v>
      </c>
      <c r="CT16" s="11">
        <v>3000000000</v>
      </c>
      <c r="CU16" s="139" t="str">
        <f t="shared" si="33"/>
        <v/>
      </c>
      <c r="CV16" s="112">
        <f t="shared" si="20"/>
        <v>49271</v>
      </c>
      <c r="CW16" s="139" t="str">
        <f>IFERROR(IF($Z16&gt;$E$12,"",IF($E$5="Uniform Inputs",INDEX($D$45:$E$53,MATCH($CU$3,$B$45:$B$53,0),MATCH(CW$4,$D$44:$E$44,0)),IF(DB16=0,"",DB16))),"")</f>
        <v/>
      </c>
      <c r="CX16" s="139" t="str">
        <f>IFERROR(IF($Z16&gt;$E$12,"",IF($E$5="Uniform Inputs",INDEX($D$45:$E$53,MATCH($CU$3,$B$45:$B$53,0),MATCH(CX$4,$D$44:$E$44,0)),IF(DC16=0,"",DC16))),"")</f>
        <v/>
      </c>
      <c r="CY16" s="10" t="str">
        <f t="shared" ca="1" si="21"/>
        <v/>
      </c>
      <c r="CZ16" s="11" t="s">
        <v>22</v>
      </c>
      <c r="DA16" s="168">
        <v>49271</v>
      </c>
      <c r="DB16" s="11" t="s">
        <v>22</v>
      </c>
      <c r="DC16" s="11" t="s">
        <v>22</v>
      </c>
    </row>
    <row r="17" spans="2:107" x14ac:dyDescent="0.25">
      <c r="B17" s="44" t="s">
        <v>91</v>
      </c>
      <c r="D17" s="3"/>
      <c r="E17" s="99">
        <v>1</v>
      </c>
      <c r="G17" s="48" t="s">
        <v>28</v>
      </c>
      <c r="H17" s="3"/>
      <c r="I17" s="107">
        <f ca="1">XIRR('Cash Flows'!D17:BK17,'Cash Flows'!D4:BK4)</f>
        <v>0.20771144032478336</v>
      </c>
      <c r="K17" s="6">
        <f t="shared" si="22"/>
        <v>12</v>
      </c>
      <c r="L17" s="32">
        <v>50000000</v>
      </c>
      <c r="M17" s="33" t="s">
        <v>8</v>
      </c>
      <c r="O17" s="6">
        <f t="shared" si="23"/>
        <v>12</v>
      </c>
      <c r="P17" s="35" t="str">
        <f t="shared" ca="1" si="0"/>
        <v>Seed</v>
      </c>
      <c r="Q17" s="102">
        <f t="shared" ca="1" si="1"/>
        <v>0.18181818181818182</v>
      </c>
      <c r="R17" s="102">
        <f t="shared" ca="1" si="2"/>
        <v>0.11559539052496796</v>
      </c>
      <c r="S17" s="112">
        <f t="shared" si="24"/>
        <v>44921</v>
      </c>
      <c r="T17" s="112">
        <f t="shared" ca="1" si="3"/>
        <v>47111</v>
      </c>
      <c r="U17" s="1">
        <f t="shared" ca="1" si="25"/>
        <v>4181818.1818181816</v>
      </c>
      <c r="V17" s="1">
        <f t="shared" ca="1" si="4"/>
        <v>5779769.5262483982</v>
      </c>
      <c r="W17" s="34">
        <f t="shared" ca="1" si="26"/>
        <v>1.3821187997550519</v>
      </c>
      <c r="Y17" s="2">
        <v>12</v>
      </c>
      <c r="Z17" s="6">
        <f t="shared" si="27"/>
        <v>12</v>
      </c>
      <c r="AA17" s="139">
        <f ca="1">IF($E$5="Uniform Inputs",IF($Z17&gt;$E$12,"",MIN($E$21,($I$5+'Cash Flows'!$BX$8+INDEX('Cash Flows'!$C$19:$BW$19,1,MATCH(EOMONTH(AB17,MOD(-MONTH(AB17),3)-3),'Cash Flows'!$C$4:$BW$4,0)))/$E$12)),IF(AF17&gt;0,AF17,""))</f>
        <v>2000000</v>
      </c>
      <c r="AB17" s="112">
        <f t="shared" si="28"/>
        <v>44921</v>
      </c>
      <c r="AC17" s="139">
        <f>IFERROR(IF($Z17&gt;$E$12,"",IF($E$5="Uniform Inputs",INDEX($D$45:$E$53,MATCH($AA$3,$B$45:$B$53,0),MATCH(AC$4,$D$44:$E$44,0)),IF(AH17=0,"",AH17))),"")</f>
        <v>3000000</v>
      </c>
      <c r="AD17" s="139">
        <f>IFERROR(IF($Z17&gt;$E$12,"",IF($E$5="Uniform Inputs",INDEX($D$45:$E$53,MATCH($AA$3,$B$45:$B$53,0),MATCH(AD$4,$D$44:$E$44,0)),IF(AI17=0,"",AI17))),"")</f>
        <v>11000000</v>
      </c>
      <c r="AE17" s="10">
        <f t="shared" ca="1" si="29"/>
        <v>0.18181818181818182</v>
      </c>
      <c r="AF17" s="11">
        <v>2000000</v>
      </c>
      <c r="AG17" s="168">
        <v>44921</v>
      </c>
      <c r="AH17" s="11">
        <v>3000000</v>
      </c>
      <c r="AI17" s="11">
        <v>11000000</v>
      </c>
      <c r="AJ17" s="139">
        <f ca="1">IF($E$5="Uniform Inputs",IF($Z17&gt;$E$13,"",IF($E$23="Pro-Rata",MIN(AL17*AE17,(($I$5+'Cash Flows'!$BX$8+INDEX('Cash Flows'!$C$19:$BW$19,1,MATCH(EOMONTH(AK17,MOD(-MONTH(AK17),3)-3),'Cash Flows'!$C$4:$BW$4,0)))-$AA$5)/$E$13),MIN($E$24,(($I$5+'Cash Flows'!$BX$8+INDEX('Cash Flows'!$C$19:$BW$19,1,MATCH(EOMONTH(AK17,MOD(-MONTH(AK17),3)-3),'Cash Flows'!$C$4:$BW$4,0)))-$AA$5)/$E$13))),IF(AO17=0,"",AO17))</f>
        <v>2181818.1818181816</v>
      </c>
      <c r="AK17" s="112">
        <f t="shared" si="6"/>
        <v>45468.5</v>
      </c>
      <c r="AL17" s="139">
        <f>IFERROR(IF($Z17&gt;$E$12,"",IF($E$5="Uniform Inputs",INDEX($D$45:$E$53,MATCH($AJ$3,$B$45:$B$53,0),MATCH(AL$4,$D$44:$E$44,0)),IF(AQ17=0,"",AQ17))),"")</f>
        <v>12000000</v>
      </c>
      <c r="AM17" s="139">
        <f>IFERROR(IF($Z17&gt;$E$12,"",IF($E$5="Uniform Inputs",INDEX($D$45:$E$53,MATCH($AJ$3,$B$45:$B$53,0),MATCH(AM$4,$D$44:$E$44,0)),IF(AR17=0,"",AR17))),"")</f>
        <v>48000000</v>
      </c>
      <c r="AN17" s="10">
        <f t="shared" ca="1" si="7"/>
        <v>0.1818181818181818</v>
      </c>
      <c r="AO17" s="11">
        <v>2181818.1818181816</v>
      </c>
      <c r="AP17" s="168">
        <v>45468.5</v>
      </c>
      <c r="AQ17" s="11">
        <v>12000000</v>
      </c>
      <c r="AR17" s="11">
        <v>48000000</v>
      </c>
      <c r="AS17" s="139" t="str">
        <f>IF($E$5="Uniform Inputs",IF($Z17&gt;$E$14,"",IF($E$23="Pro-Rata",MIN(AU17*AN17,(($I$5+'Cash Flows'!$BX$8+INDEX('Cash Flows'!$C$19:$BW$19,1,MATCH(EOMONTH(AT17,MOD(-MONTH(AT17),3)-3),'Cash Flows'!$C$4:$BW$4,0)))-SUM($AJ$5,$AA$5))/$E$14),MIN($E$25,(($I$5+'Cash Flows'!$BX$8+INDEX('Cash Flows'!$C$19:$BW$19,1,MATCH(EOMONTH(AT17,MOD(-MONTH(AT17),3)-3),'Cash Flows'!$C$4:$BW$4,0)))-SUM($AJ$5,$AA$5))/$E$14))),IF(AX17=0,"",AX17))</f>
        <v/>
      </c>
      <c r="AT17" s="112">
        <f t="shared" si="8"/>
        <v>46016</v>
      </c>
      <c r="AU17" s="139">
        <f>IFERROR(IF($Z17&gt;$E$12,"",IF($E$5="Uniform Inputs",INDEX($D$45:$E$53,MATCH($AS$3,$B$45:$B$53,0),MATCH(AU$4,$D$44:$E$44,0)),IF(AZ17=0,"",AZ17))),"")</f>
        <v>31000000</v>
      </c>
      <c r="AV17" s="139">
        <f>IFERROR(IF($Z17&gt;$E$12,"",IF($E$5="Uniform Inputs",INDEX($D$45:$E$53,MATCH($AS$3,$B$45:$B$53,0),MATCH(AV$4,$D$44:$E$44,0)),IF(BA17=0,"",BA17))),"")</f>
        <v>142000000</v>
      </c>
      <c r="AW17" s="10">
        <f t="shared" ca="1" si="9"/>
        <v>0.14212548015364915</v>
      </c>
      <c r="AX17" s="11" t="s">
        <v>22</v>
      </c>
      <c r="AY17" s="168">
        <v>46016</v>
      </c>
      <c r="AZ17" s="11">
        <v>31000000</v>
      </c>
      <c r="BA17" s="11">
        <v>142000000</v>
      </c>
      <c r="BB17" s="139" t="str">
        <f>IF($E$5="Uniform Inputs",IF($Z17&gt;$E$15,"",IF($E$23="Pro-Rata",MIN(BD17*AW17,(($I$5+'Cash Flows'!$BX$8+INDEX('Cash Flows'!$C$19:$BW$19,1,MATCH(EOMONTH(BC17,MOD(-MONTH(BC17),3)-3),'Cash Flows'!$C$4:$BW$4,0)))-SUM($AS$5,$AJ$5,$AA$5))/$E$15),MIN($E$26,(($I$5+'Cash Flows'!$BX$8+INDEX('Cash Flows'!$C$19:$BW$19,1,MATCH(EOMONTH(BC17,MOD(-MONTH(BC17),3)-3),'Cash Flows'!$C$4:$BW$4,0)))-SUM($AS$5,$AJ$5,$AA$5))/$E$15))),IF(BG17=0,"",BG17))</f>
        <v/>
      </c>
      <c r="BC17" s="112">
        <f t="shared" si="10"/>
        <v>46563.5</v>
      </c>
      <c r="BD17" s="139">
        <f>IFERROR(IF($Z17&gt;$E$12,"",IF($E$5="Uniform Inputs",INDEX($D$45:$E$53,MATCH($BB$3,$B$45:$B$53,0),MATCH(BD$4,$D$44:$E$44,0)),IF(BI17=0,"",BI17))),"")</f>
        <v>70000000</v>
      </c>
      <c r="BE17" s="139">
        <f>IFERROR(IF($Z17&gt;$E$12,"",IF($E$5="Uniform Inputs",INDEX($D$45:$E$53,MATCH($BB$3,$B$45:$B$53,0),MATCH(BE$4,$D$44:$E$44,0)),IF(BJ17=0,"",BJ17))),"")</f>
        <v>375000000</v>
      </c>
      <c r="BF17" s="10">
        <f t="shared" ca="1" si="11"/>
        <v>0.11559539052496796</v>
      </c>
      <c r="BG17" s="11" t="s">
        <v>22</v>
      </c>
      <c r="BH17" s="168">
        <v>46563.5</v>
      </c>
      <c r="BI17" s="11">
        <v>70000000</v>
      </c>
      <c r="BJ17" s="11">
        <v>375000000</v>
      </c>
      <c r="BK17" s="139" t="str">
        <f>IF($E$5="Uniform Inputs",IF($Z17&gt;$E$16,"",IF($E$23="Pro-Rata",MIN(BM17*BF17,(($I$5+'Cash Flows'!$BX$8+INDEX('Cash Flows'!$C$19:$BW$19,1,MATCH(EOMONTH(BL17,MOD(-MONTH(BL17),3)-3),'Cash Flows'!$C$4:$BW$4,0)))-SUM($BB$5,$AS$5,$AJ$5,$AA$5))/$E$16),MIN($E$27,(($I$5+'Cash Flows'!$BX$8+INDEX('Cash Flows'!$C$19:$BW$19,1,MATCH(EOMONTH(BL17,MOD(-MONTH(BL17),3)-3),'Cash Flows'!$C$4:$BW$4,0)))-SUM($BB$5,$AS$5,$AJ$5,$AA$5))/$E$16))),IF(BP17=0,"",BP17))</f>
        <v/>
      </c>
      <c r="BL17" s="112">
        <f t="shared" si="12"/>
        <v>47111</v>
      </c>
      <c r="BM17" s="139">
        <f>IFERROR(IF($Z17&gt;$E$12,"",IF($E$5="Uniform Inputs",INDEX($D$45:$E$53,MATCH($BK$3,$B$45:$B$53,0),MATCH(BM$4,$D$44:$E$44,0)),IF(BR17=0,"",BR17))),"")</f>
        <v>110000000</v>
      </c>
      <c r="BN17" s="139">
        <f>IFERROR(IF($Z17&gt;$E$12,"",IF($E$5="Uniform Inputs",INDEX($D$45:$E$53,MATCH($BK$3,$B$45:$B$53,0),MATCH(BN$4,$D$44:$E$44,0)),IF(BS17=0,"",BS17))),"")</f>
        <v>1000000000</v>
      </c>
      <c r="BO17" s="10">
        <f t="shared" ca="1" si="13"/>
        <v>0.10287989756722149</v>
      </c>
      <c r="BP17" s="11" t="s">
        <v>22</v>
      </c>
      <c r="BQ17" s="168">
        <v>47111</v>
      </c>
      <c r="BR17" s="11">
        <v>110000000</v>
      </c>
      <c r="BS17" s="11">
        <v>1000000000</v>
      </c>
      <c r="BT17" s="139" t="str">
        <f t="shared" si="30"/>
        <v/>
      </c>
      <c r="BU17" s="112">
        <f t="shared" si="14"/>
        <v>47658.5</v>
      </c>
      <c r="BV17" s="139">
        <f>IFERROR(IF($Z17&gt;$E$12,"",IF($E$5="Uniform Inputs",INDEX($D$45:$E$53,MATCH($BT$3,$B$45:$B$53,0),MATCH(BV$4,$D$44:$E$44,0)),IF(CA17=0,"",CA17))),"")</f>
        <v>150000000</v>
      </c>
      <c r="BW17" s="139">
        <f>IFERROR(IF($Z17&gt;$E$12,"",IF($E$5="Uniform Inputs",INDEX($D$45:$E$53,MATCH($BT$3,$B$45:$B$53,0),MATCH(BW$4,$D$44:$E$44,0)),IF(CB17=0,"",CB17))),"")</f>
        <v>1300000000</v>
      </c>
      <c r="BX17" s="10">
        <f t="shared" ca="1" si="15"/>
        <v>9.1009140155619006E-2</v>
      </c>
      <c r="BY17" s="11" t="s">
        <v>22</v>
      </c>
      <c r="BZ17" s="168">
        <v>47658.5</v>
      </c>
      <c r="CA17" s="11">
        <v>150000000</v>
      </c>
      <c r="CB17" s="11">
        <v>1300000000</v>
      </c>
      <c r="CC17" s="139" t="str">
        <f t="shared" si="31"/>
        <v/>
      </c>
      <c r="CD17" s="112">
        <f t="shared" si="16"/>
        <v>48206</v>
      </c>
      <c r="CE17" s="139">
        <f>IFERROR(IF($Z17&gt;$E$12,"",IF($E$5="Uniform Inputs",INDEX($D$45:$E$53,MATCH($CC$3,$B$45:$B$53,0),MATCH(CE$4,$D$44:$E$44,0)),IF(CJ17=0,"",CJ17))),"")</f>
        <v>200000000</v>
      </c>
      <c r="CF17" s="139">
        <f>IFERROR(IF($Z17&gt;$E$12,"",IF($E$5="Uniform Inputs",INDEX($D$45:$E$53,MATCH($CC$3,$B$45:$B$53,0),MATCH(CF$4,$D$44:$E$44,0)),IF(CK17=0,"",CK17))),"")</f>
        <v>2300000000</v>
      </c>
      <c r="CG17" s="10">
        <f t="shared" ca="1" si="17"/>
        <v>8.3095301881217346E-2</v>
      </c>
      <c r="CH17" s="11" t="s">
        <v>22</v>
      </c>
      <c r="CI17" s="168">
        <v>48206</v>
      </c>
      <c r="CJ17" s="11">
        <v>200000000</v>
      </c>
      <c r="CK17" s="11">
        <v>2300000000</v>
      </c>
      <c r="CL17" s="139" t="str">
        <f t="shared" si="32"/>
        <v/>
      </c>
      <c r="CM17" s="112">
        <f t="shared" si="18"/>
        <v>48753.5</v>
      </c>
      <c r="CN17" s="139">
        <f>IFERROR(IF($Z17&gt;$E$12,"",IF($E$5="Uniform Inputs",INDEX($D$45:$E$53,MATCH($CL$3,$B$45:$B$53,0),MATCH(CN$4,$D$44:$E$44,0)),IF(CS17=0,"",CS17))),"")</f>
        <v>275000000</v>
      </c>
      <c r="CO17" s="139">
        <f>IFERROR(IF($Z17&gt;$E$12,"",IF($E$5="Uniform Inputs",INDEX($D$45:$E$53,MATCH($CL$3,$B$45:$B$53,0),MATCH(CO$4,$D$44:$E$44,0)),IF(CT17=0,"",CT17))),"")</f>
        <v>3000000000</v>
      </c>
      <c r="CP17" s="10">
        <f t="shared" ca="1" si="19"/>
        <v>7.5478232542105755E-2</v>
      </c>
      <c r="CQ17" s="11" t="s">
        <v>22</v>
      </c>
      <c r="CR17" s="168">
        <v>48753.5</v>
      </c>
      <c r="CS17" s="11">
        <v>275000000</v>
      </c>
      <c r="CT17" s="11">
        <v>3000000000</v>
      </c>
      <c r="CU17" s="139" t="str">
        <f t="shared" si="33"/>
        <v/>
      </c>
      <c r="CV17" s="112">
        <f t="shared" si="20"/>
        <v>49301</v>
      </c>
      <c r="CW17" s="139" t="str">
        <f>IFERROR(IF($Z17&gt;$E$12,"",IF($E$5="Uniform Inputs",INDEX($D$45:$E$53,MATCH($CU$3,$B$45:$B$53,0),MATCH(CW$4,$D$44:$E$44,0)),IF(DB17=0,"",DB17))),"")</f>
        <v/>
      </c>
      <c r="CX17" s="139" t="str">
        <f>IFERROR(IF($Z17&gt;$E$12,"",IF($E$5="Uniform Inputs",INDEX($D$45:$E$53,MATCH($CU$3,$B$45:$B$53,0),MATCH(CX$4,$D$44:$E$44,0)),IF(DC17=0,"",DC17))),"")</f>
        <v/>
      </c>
      <c r="CY17" s="10" t="str">
        <f t="shared" ca="1" si="21"/>
        <v/>
      </c>
      <c r="CZ17" s="11" t="s">
        <v>22</v>
      </c>
      <c r="DA17" s="168">
        <v>49301</v>
      </c>
      <c r="DB17" s="11" t="s">
        <v>22</v>
      </c>
      <c r="DC17" s="11" t="s">
        <v>22</v>
      </c>
    </row>
    <row r="18" spans="2:107" x14ac:dyDescent="0.25">
      <c r="B18" s="44"/>
      <c r="D18" s="3"/>
      <c r="E18" s="47"/>
      <c r="J18" s="37"/>
      <c r="K18" s="6">
        <f t="shared" si="22"/>
        <v>13</v>
      </c>
      <c r="L18" s="32">
        <v>50000000</v>
      </c>
      <c r="M18" s="33" t="s">
        <v>8</v>
      </c>
      <c r="N18" s="37"/>
      <c r="O18" s="6">
        <f t="shared" si="23"/>
        <v>13</v>
      </c>
      <c r="P18" s="35" t="str">
        <f t="shared" ca="1" si="0"/>
        <v>Seed</v>
      </c>
      <c r="Q18" s="102">
        <f t="shared" ca="1" si="1"/>
        <v>0.18181818181818182</v>
      </c>
      <c r="R18" s="102">
        <f t="shared" ca="1" si="2"/>
        <v>8.6696542893726011E-2</v>
      </c>
      <c r="S18" s="112">
        <f t="shared" si="24"/>
        <v>44951</v>
      </c>
      <c r="T18" s="112">
        <f t="shared" ca="1" si="3"/>
        <v>47141</v>
      </c>
      <c r="U18" s="1">
        <f t="shared" ca="1" si="25"/>
        <v>2000000</v>
      </c>
      <c r="V18" s="1">
        <f t="shared" ca="1" si="4"/>
        <v>4334827.1446863003</v>
      </c>
      <c r="W18" s="34">
        <f t="shared" ca="1" si="26"/>
        <v>2.16741357234315</v>
      </c>
      <c r="Y18" s="2">
        <v>13</v>
      </c>
      <c r="Z18" s="6">
        <f t="shared" si="27"/>
        <v>13</v>
      </c>
      <c r="AA18" s="139">
        <f ca="1">IF($E$5="Uniform Inputs",IF($Z18&gt;$E$12,"",MIN($E$21,($I$5+'Cash Flows'!$BX$8+INDEX('Cash Flows'!$C$19:$BW$19,1,MATCH(EOMONTH(AB18,MOD(-MONTH(AB18),3)-3),'Cash Flows'!$C$4:$BW$4,0)))/$E$12)),IF(AF18&gt;0,AF18,""))</f>
        <v>2000000</v>
      </c>
      <c r="AB18" s="112">
        <f t="shared" si="28"/>
        <v>44951</v>
      </c>
      <c r="AC18" s="139">
        <f>IFERROR(IF($Z18&gt;$E$12,"",IF($E$5="Uniform Inputs",INDEX($D$45:$E$53,MATCH($AA$3,$B$45:$B$53,0),MATCH(AC$4,$D$44:$E$44,0)),IF(AH18=0,"",AH18))),"")</f>
        <v>3000000</v>
      </c>
      <c r="AD18" s="139">
        <f>IFERROR(IF($Z18&gt;$E$12,"",IF($E$5="Uniform Inputs",INDEX($D$45:$E$53,MATCH($AA$3,$B$45:$B$53,0),MATCH(AD$4,$D$44:$E$44,0)),IF(AI18=0,"",AI18))),"")</f>
        <v>11000000</v>
      </c>
      <c r="AE18" s="10">
        <f t="shared" ca="1" si="29"/>
        <v>0.18181818181818182</v>
      </c>
      <c r="AF18" s="11">
        <v>2000000</v>
      </c>
      <c r="AG18" s="168">
        <v>44951</v>
      </c>
      <c r="AH18" s="11">
        <v>3000000</v>
      </c>
      <c r="AI18" s="11">
        <v>11000000</v>
      </c>
      <c r="AJ18" s="139" t="str">
        <f>IF($E$5="Uniform Inputs",IF($Z18&gt;$E$13,"",IF($E$23="Pro-Rata",MIN(AL18*AE18,(($I$5+'Cash Flows'!$BX$8+INDEX('Cash Flows'!$C$19:$BW$19,1,MATCH(EOMONTH(AK18,MOD(-MONTH(AK18),3)-3),'Cash Flows'!$C$4:$BW$4,0)))-$AA$5)/$E$13),MIN($E$24,(($I$5+'Cash Flows'!$BX$8+INDEX('Cash Flows'!$C$19:$BW$19,1,MATCH(EOMONTH(AK18,MOD(-MONTH(AK18),3)-3),'Cash Flows'!$C$4:$BW$4,0)))-$AA$5)/$E$13))),IF(AO18=0,"",AO18))</f>
        <v/>
      </c>
      <c r="AK18" s="112">
        <f t="shared" si="6"/>
        <v>45498.5</v>
      </c>
      <c r="AL18" s="139">
        <f>IFERROR(IF($Z18&gt;$E$12,"",IF($E$5="Uniform Inputs",INDEX($D$45:$E$53,MATCH($AJ$3,$B$45:$B$53,0),MATCH(AL$4,$D$44:$E$44,0)),IF(AQ18=0,"",AQ18))),"")</f>
        <v>12000000</v>
      </c>
      <c r="AM18" s="139">
        <f>IFERROR(IF($Z18&gt;$E$12,"",IF($E$5="Uniform Inputs",INDEX($D$45:$E$53,MATCH($AJ$3,$B$45:$B$53,0),MATCH(AM$4,$D$44:$E$44,0)),IF(AR18=0,"",AR18))),"")</f>
        <v>48000000</v>
      </c>
      <c r="AN18" s="10">
        <f t="shared" ca="1" si="7"/>
        <v>0.13636363636363638</v>
      </c>
      <c r="AO18" s="11" t="s">
        <v>22</v>
      </c>
      <c r="AP18" s="168">
        <v>45498.5</v>
      </c>
      <c r="AQ18" s="11">
        <v>12000000</v>
      </c>
      <c r="AR18" s="11">
        <v>48000000</v>
      </c>
      <c r="AS18" s="139" t="str">
        <f>IF($E$5="Uniform Inputs",IF($Z18&gt;$E$14,"",IF($E$23="Pro-Rata",MIN(AU18*AN18,(($I$5+'Cash Flows'!$BX$8+INDEX('Cash Flows'!$C$19:$BW$19,1,MATCH(EOMONTH(AT18,MOD(-MONTH(AT18),3)-3),'Cash Flows'!$C$4:$BW$4,0)))-SUM($AJ$5,$AA$5))/$E$14),MIN($E$25,(($I$5+'Cash Flows'!$BX$8+INDEX('Cash Flows'!$C$19:$BW$19,1,MATCH(EOMONTH(AT18,MOD(-MONTH(AT18),3)-3),'Cash Flows'!$C$4:$BW$4,0)))-SUM($AJ$5,$AA$5))/$E$14))),IF(AX18=0,"",AX18))</f>
        <v/>
      </c>
      <c r="AT18" s="112">
        <f t="shared" si="8"/>
        <v>46046</v>
      </c>
      <c r="AU18" s="139">
        <f>IFERROR(IF($Z18&gt;$E$12,"",IF($E$5="Uniform Inputs",INDEX($D$45:$E$53,MATCH($AS$3,$B$45:$B$53,0),MATCH(AU$4,$D$44:$E$44,0)),IF(AZ18=0,"",AZ18))),"")</f>
        <v>31000000</v>
      </c>
      <c r="AV18" s="139">
        <f>IFERROR(IF($Z18&gt;$E$12,"",IF($E$5="Uniform Inputs",INDEX($D$45:$E$53,MATCH($AS$3,$B$45:$B$53,0),MATCH(AV$4,$D$44:$E$44,0)),IF(BA18=0,"",BA18))),"")</f>
        <v>142000000</v>
      </c>
      <c r="AW18" s="10">
        <f t="shared" ca="1" si="9"/>
        <v>0.1065941101152369</v>
      </c>
      <c r="AX18" s="11" t="s">
        <v>22</v>
      </c>
      <c r="AY18" s="168">
        <v>46046</v>
      </c>
      <c r="AZ18" s="11">
        <v>31000000</v>
      </c>
      <c r="BA18" s="11">
        <v>142000000</v>
      </c>
      <c r="BB18" s="139" t="str">
        <f>IF($E$5="Uniform Inputs",IF($Z18&gt;$E$15,"",IF($E$23="Pro-Rata",MIN(BD18*AW18,(($I$5+'Cash Flows'!$BX$8+INDEX('Cash Flows'!$C$19:$BW$19,1,MATCH(EOMONTH(BC18,MOD(-MONTH(BC18),3)-3),'Cash Flows'!$C$4:$BW$4,0)))-SUM($AS$5,$AJ$5,$AA$5))/$E$15),MIN($E$26,(($I$5+'Cash Flows'!$BX$8+INDEX('Cash Flows'!$C$19:$BW$19,1,MATCH(EOMONTH(BC18,MOD(-MONTH(BC18),3)-3),'Cash Flows'!$C$4:$BW$4,0)))-SUM($AS$5,$AJ$5,$AA$5))/$E$15))),IF(BG18=0,"",BG18))</f>
        <v/>
      </c>
      <c r="BC18" s="112">
        <f t="shared" si="10"/>
        <v>46593.5</v>
      </c>
      <c r="BD18" s="139">
        <f>IFERROR(IF($Z18&gt;$E$12,"",IF($E$5="Uniform Inputs",INDEX($D$45:$E$53,MATCH($BB$3,$B$45:$B$53,0),MATCH(BD$4,$D$44:$E$44,0)),IF(BI18=0,"",BI18))),"")</f>
        <v>70000000</v>
      </c>
      <c r="BE18" s="139">
        <f>IFERROR(IF($Z18&gt;$E$12,"",IF($E$5="Uniform Inputs",INDEX($D$45:$E$53,MATCH($BB$3,$B$45:$B$53,0),MATCH(BE$4,$D$44:$E$44,0)),IF(BJ18=0,"",BJ18))),"")</f>
        <v>375000000</v>
      </c>
      <c r="BF18" s="10">
        <f t="shared" ca="1" si="11"/>
        <v>8.6696542893726011E-2</v>
      </c>
      <c r="BG18" s="11" t="s">
        <v>22</v>
      </c>
      <c r="BH18" s="168">
        <v>46593.5</v>
      </c>
      <c r="BI18" s="11">
        <v>70000000</v>
      </c>
      <c r="BJ18" s="11">
        <v>375000000</v>
      </c>
      <c r="BK18" s="139" t="str">
        <f>IF($E$5="Uniform Inputs",IF($Z18&gt;$E$16,"",IF($E$23="Pro-Rata",MIN(BM18*BF18,(($I$5+'Cash Flows'!$BX$8+INDEX('Cash Flows'!$C$19:$BW$19,1,MATCH(EOMONTH(BL18,MOD(-MONTH(BL18),3)-3),'Cash Flows'!$C$4:$BW$4,0)))-SUM($BB$5,$AS$5,$AJ$5,$AA$5))/$E$16),MIN($E$27,(($I$5+'Cash Flows'!$BX$8+INDEX('Cash Flows'!$C$19:$BW$19,1,MATCH(EOMONTH(BL18,MOD(-MONTH(BL18),3)-3),'Cash Flows'!$C$4:$BW$4,0)))-SUM($BB$5,$AS$5,$AJ$5,$AA$5))/$E$16))),IF(BP18=0,"",BP18))</f>
        <v/>
      </c>
      <c r="BL18" s="112">
        <f t="shared" si="12"/>
        <v>47141</v>
      </c>
      <c r="BM18" s="139">
        <f>IFERROR(IF($Z18&gt;$E$12,"",IF($E$5="Uniform Inputs",INDEX($D$45:$E$53,MATCH($BK$3,$B$45:$B$53,0),MATCH(BM$4,$D$44:$E$44,0)),IF(BR18=0,"",BR18))),"")</f>
        <v>110000000</v>
      </c>
      <c r="BN18" s="139">
        <f>IFERROR(IF($Z18&gt;$E$12,"",IF($E$5="Uniform Inputs",INDEX($D$45:$E$53,MATCH($BK$3,$B$45:$B$53,0),MATCH(BN$4,$D$44:$E$44,0)),IF(BS18=0,"",BS18))),"")</f>
        <v>1000000000</v>
      </c>
      <c r="BO18" s="10">
        <f t="shared" ca="1" si="13"/>
        <v>7.7159923175416159E-2</v>
      </c>
      <c r="BP18" s="11" t="s">
        <v>22</v>
      </c>
      <c r="BQ18" s="168">
        <v>47141</v>
      </c>
      <c r="BR18" s="11">
        <v>110000000</v>
      </c>
      <c r="BS18" s="11">
        <v>1000000000</v>
      </c>
      <c r="BT18" s="139" t="str">
        <f t="shared" si="30"/>
        <v/>
      </c>
      <c r="BU18" s="112">
        <f t="shared" si="14"/>
        <v>47688.5</v>
      </c>
      <c r="BV18" s="139">
        <f>IFERROR(IF($Z18&gt;$E$12,"",IF($E$5="Uniform Inputs",INDEX($D$45:$E$53,MATCH($BT$3,$B$45:$B$53,0),MATCH(BV$4,$D$44:$E$44,0)),IF(CA18=0,"",CA18))),"")</f>
        <v>150000000</v>
      </c>
      <c r="BW18" s="139">
        <f>IFERROR(IF($Z18&gt;$E$12,"",IF($E$5="Uniform Inputs",INDEX($D$45:$E$53,MATCH($BT$3,$B$45:$B$53,0),MATCH(BW$4,$D$44:$E$44,0)),IF(CB18=0,"",CB18))),"")</f>
        <v>1300000000</v>
      </c>
      <c r="BX18" s="10">
        <f t="shared" ca="1" si="15"/>
        <v>6.8256855116714296E-2</v>
      </c>
      <c r="BY18" s="11" t="s">
        <v>22</v>
      </c>
      <c r="BZ18" s="168">
        <v>47688.5</v>
      </c>
      <c r="CA18" s="11">
        <v>150000000</v>
      </c>
      <c r="CB18" s="11">
        <v>1300000000</v>
      </c>
      <c r="CC18" s="139" t="str">
        <f t="shared" si="31"/>
        <v/>
      </c>
      <c r="CD18" s="112">
        <f t="shared" si="16"/>
        <v>48236</v>
      </c>
      <c r="CE18" s="139">
        <f>IFERROR(IF($Z18&gt;$E$12,"",IF($E$5="Uniform Inputs",INDEX($D$45:$E$53,MATCH($CC$3,$B$45:$B$53,0),MATCH(CE$4,$D$44:$E$44,0)),IF(CJ18=0,"",CJ18))),"")</f>
        <v>200000000</v>
      </c>
      <c r="CF18" s="139">
        <f>IFERROR(IF($Z18&gt;$E$12,"",IF($E$5="Uniform Inputs",INDEX($D$45:$E$53,MATCH($CC$3,$B$45:$B$53,0),MATCH(CF$4,$D$44:$E$44,0)),IF(CK18=0,"",CK18))),"")</f>
        <v>2300000000</v>
      </c>
      <c r="CG18" s="10">
        <f t="shared" ca="1" si="17"/>
        <v>6.2321476410913054E-2</v>
      </c>
      <c r="CH18" s="11" t="s">
        <v>22</v>
      </c>
      <c r="CI18" s="168">
        <v>48236</v>
      </c>
      <c r="CJ18" s="11">
        <v>200000000</v>
      </c>
      <c r="CK18" s="11">
        <v>2300000000</v>
      </c>
      <c r="CL18" s="139" t="str">
        <f t="shared" si="32"/>
        <v/>
      </c>
      <c r="CM18" s="112">
        <f t="shared" si="18"/>
        <v>48783.5</v>
      </c>
      <c r="CN18" s="139">
        <f>IFERROR(IF($Z18&gt;$E$12,"",IF($E$5="Uniform Inputs",INDEX($D$45:$E$53,MATCH($CL$3,$B$45:$B$53,0),MATCH(CN$4,$D$44:$E$44,0)),IF(CS18=0,"",CS18))),"")</f>
        <v>275000000</v>
      </c>
      <c r="CO18" s="139">
        <f>IFERROR(IF($Z18&gt;$E$12,"",IF($E$5="Uniform Inputs",INDEX($D$45:$E$53,MATCH($CL$3,$B$45:$B$53,0),MATCH(CO$4,$D$44:$E$44,0)),IF(CT18=0,"",CT18))),"")</f>
        <v>3000000000</v>
      </c>
      <c r="CP18" s="10">
        <f t="shared" ca="1" si="19"/>
        <v>5.6608674406579358E-2</v>
      </c>
      <c r="CQ18" s="11" t="s">
        <v>22</v>
      </c>
      <c r="CR18" s="168">
        <v>48783.5</v>
      </c>
      <c r="CS18" s="11">
        <v>275000000</v>
      </c>
      <c r="CT18" s="11">
        <v>3000000000</v>
      </c>
      <c r="CU18" s="139" t="str">
        <f t="shared" si="33"/>
        <v/>
      </c>
      <c r="CV18" s="112">
        <f t="shared" si="20"/>
        <v>49331</v>
      </c>
      <c r="CW18" s="139" t="str">
        <f>IFERROR(IF($Z18&gt;$E$12,"",IF($E$5="Uniform Inputs",INDEX($D$45:$E$53,MATCH($CU$3,$B$45:$B$53,0),MATCH(CW$4,$D$44:$E$44,0)),IF(DB18=0,"",DB18))),"")</f>
        <v/>
      </c>
      <c r="CX18" s="139" t="str">
        <f>IFERROR(IF($Z18&gt;$E$12,"",IF($E$5="Uniform Inputs",INDEX($D$45:$E$53,MATCH($CU$3,$B$45:$B$53,0),MATCH(CX$4,$D$44:$E$44,0)),IF(DC18=0,"",DC18))),"")</f>
        <v/>
      </c>
      <c r="CY18" s="10" t="str">
        <f t="shared" ca="1" si="21"/>
        <v/>
      </c>
      <c r="CZ18" s="11" t="s">
        <v>22</v>
      </c>
      <c r="DA18" s="168">
        <v>49331</v>
      </c>
      <c r="DB18" s="11" t="s">
        <v>22</v>
      </c>
      <c r="DC18" s="11" t="s">
        <v>22</v>
      </c>
    </row>
    <row r="19" spans="2:107" x14ac:dyDescent="0.25">
      <c r="K19" s="6">
        <f t="shared" si="22"/>
        <v>14</v>
      </c>
      <c r="L19" s="32">
        <v>15000000</v>
      </c>
      <c r="M19" s="33" t="s">
        <v>8</v>
      </c>
      <c r="O19" s="6">
        <f t="shared" si="23"/>
        <v>14</v>
      </c>
      <c r="P19" s="35" t="str">
        <f t="shared" ca="1" si="0"/>
        <v>Seed</v>
      </c>
      <c r="Q19" s="102">
        <f t="shared" ca="1" si="1"/>
        <v>0.18181818181818182</v>
      </c>
      <c r="R19" s="102">
        <f t="shared" ca="1" si="2"/>
        <v>8.6696542893726011E-2</v>
      </c>
      <c r="S19" s="112">
        <f t="shared" si="24"/>
        <v>44981</v>
      </c>
      <c r="T19" s="112">
        <f t="shared" ca="1" si="3"/>
        <v>47171</v>
      </c>
      <c r="U19" s="1">
        <f t="shared" ca="1" si="25"/>
        <v>2000000</v>
      </c>
      <c r="V19" s="1">
        <f t="shared" ca="1" si="4"/>
        <v>1300448.1434058901</v>
      </c>
      <c r="W19" s="34">
        <f t="shared" ca="1" si="26"/>
        <v>0.65022407170294505</v>
      </c>
      <c r="Y19" s="2">
        <v>14</v>
      </c>
      <c r="Z19" s="6">
        <f t="shared" si="27"/>
        <v>14</v>
      </c>
      <c r="AA19" s="139">
        <f ca="1">IF($E$5="Uniform Inputs",IF($Z19&gt;$E$12,"",MIN($E$21,($I$5+'Cash Flows'!$BX$8+INDEX('Cash Flows'!$C$19:$BW$19,1,MATCH(EOMONTH(AB19,MOD(-MONTH(AB19),3)-3),'Cash Flows'!$C$4:$BW$4,0)))/$E$12)),IF(AF19&gt;0,AF19,""))</f>
        <v>2000000</v>
      </c>
      <c r="AB19" s="112">
        <f t="shared" si="28"/>
        <v>44981</v>
      </c>
      <c r="AC19" s="139">
        <f>IFERROR(IF($Z19&gt;$E$12,"",IF($E$5="Uniform Inputs",INDEX($D$45:$E$53,MATCH($AA$3,$B$45:$B$53,0),MATCH(AC$4,$D$44:$E$44,0)),IF(AH19=0,"",AH19))),"")</f>
        <v>3000000</v>
      </c>
      <c r="AD19" s="139">
        <f>IFERROR(IF($Z19&gt;$E$12,"",IF($E$5="Uniform Inputs",INDEX($D$45:$E$53,MATCH($AA$3,$B$45:$B$53,0),MATCH(AD$4,$D$44:$E$44,0)),IF(AI19=0,"",AI19))),"")</f>
        <v>11000000</v>
      </c>
      <c r="AE19" s="10">
        <f t="shared" ca="1" si="29"/>
        <v>0.18181818181818182</v>
      </c>
      <c r="AF19" s="11">
        <v>2000000</v>
      </c>
      <c r="AG19" s="168">
        <v>44981</v>
      </c>
      <c r="AH19" s="11">
        <v>3000000</v>
      </c>
      <c r="AI19" s="11">
        <v>11000000</v>
      </c>
      <c r="AJ19" s="139" t="str">
        <f>IF($E$5="Uniform Inputs",IF($Z19&gt;$E$13,"",IF($E$23="Pro-Rata",MIN(AL19*AE19,(($I$5+'Cash Flows'!$BX$8+INDEX('Cash Flows'!$C$19:$BW$19,1,MATCH(EOMONTH(AK19,MOD(-MONTH(AK19),3)-3),'Cash Flows'!$C$4:$BW$4,0)))-$AA$5)/$E$13),MIN($E$24,(($I$5+'Cash Flows'!$BX$8+INDEX('Cash Flows'!$C$19:$BW$19,1,MATCH(EOMONTH(AK19,MOD(-MONTH(AK19),3)-3),'Cash Flows'!$C$4:$BW$4,0)))-$AA$5)/$E$13))),IF(AO19=0,"",AO19))</f>
        <v/>
      </c>
      <c r="AK19" s="112">
        <f t="shared" si="6"/>
        <v>45528.5</v>
      </c>
      <c r="AL19" s="139">
        <f>IFERROR(IF($Z19&gt;$E$12,"",IF($E$5="Uniform Inputs",INDEX($D$45:$E$53,MATCH($AJ$3,$B$45:$B$53,0),MATCH(AL$4,$D$44:$E$44,0)),IF(AQ19=0,"",AQ19))),"")</f>
        <v>12000000</v>
      </c>
      <c r="AM19" s="139">
        <f>IFERROR(IF($Z19&gt;$E$12,"",IF($E$5="Uniform Inputs",INDEX($D$45:$E$53,MATCH($AJ$3,$B$45:$B$53,0),MATCH(AM$4,$D$44:$E$44,0)),IF(AR19=0,"",AR19))),"")</f>
        <v>48000000</v>
      </c>
      <c r="AN19" s="10">
        <f t="shared" ca="1" si="7"/>
        <v>0.13636363636363638</v>
      </c>
      <c r="AO19" s="11" t="s">
        <v>22</v>
      </c>
      <c r="AP19" s="168">
        <v>45528.5</v>
      </c>
      <c r="AQ19" s="11">
        <v>12000000</v>
      </c>
      <c r="AR19" s="11">
        <v>48000000</v>
      </c>
      <c r="AS19" s="139" t="str">
        <f>IF($E$5="Uniform Inputs",IF($Z19&gt;$E$14,"",IF($E$23="Pro-Rata",MIN(AU19*AN19,(($I$5+'Cash Flows'!$BX$8+INDEX('Cash Flows'!$C$19:$BW$19,1,MATCH(EOMONTH(AT19,MOD(-MONTH(AT19),3)-3),'Cash Flows'!$C$4:$BW$4,0)))-SUM($AJ$5,$AA$5))/$E$14),MIN($E$25,(($I$5+'Cash Flows'!$BX$8+INDEX('Cash Flows'!$C$19:$BW$19,1,MATCH(EOMONTH(AT19,MOD(-MONTH(AT19),3)-3),'Cash Flows'!$C$4:$BW$4,0)))-SUM($AJ$5,$AA$5))/$E$14))),IF(AX19=0,"",AX19))</f>
        <v/>
      </c>
      <c r="AT19" s="112">
        <f t="shared" si="8"/>
        <v>46076</v>
      </c>
      <c r="AU19" s="139">
        <f>IFERROR(IF($Z19&gt;$E$12,"",IF($E$5="Uniform Inputs",INDEX($D$45:$E$53,MATCH($AS$3,$B$45:$B$53,0),MATCH(AU$4,$D$44:$E$44,0)),IF(AZ19=0,"",AZ19))),"")</f>
        <v>31000000</v>
      </c>
      <c r="AV19" s="139">
        <f>IFERROR(IF($Z19&gt;$E$12,"",IF($E$5="Uniform Inputs",INDEX($D$45:$E$53,MATCH($AS$3,$B$45:$B$53,0),MATCH(AV$4,$D$44:$E$44,0)),IF(BA19=0,"",BA19))),"")</f>
        <v>142000000</v>
      </c>
      <c r="AW19" s="10">
        <f t="shared" ca="1" si="9"/>
        <v>0.1065941101152369</v>
      </c>
      <c r="AX19" s="11" t="s">
        <v>22</v>
      </c>
      <c r="AY19" s="168">
        <v>46076</v>
      </c>
      <c r="AZ19" s="11">
        <v>31000000</v>
      </c>
      <c r="BA19" s="11">
        <v>142000000</v>
      </c>
      <c r="BB19" s="139" t="str">
        <f>IF($E$5="Uniform Inputs",IF($Z19&gt;$E$15,"",IF($E$23="Pro-Rata",MIN(BD19*AW19,(($I$5+'Cash Flows'!$BX$8+INDEX('Cash Flows'!$C$19:$BW$19,1,MATCH(EOMONTH(BC19,MOD(-MONTH(BC19),3)-3),'Cash Flows'!$C$4:$BW$4,0)))-SUM($AS$5,$AJ$5,$AA$5))/$E$15),MIN($E$26,(($I$5+'Cash Flows'!$BX$8+INDEX('Cash Flows'!$C$19:$BW$19,1,MATCH(EOMONTH(BC19,MOD(-MONTH(BC19),3)-3),'Cash Flows'!$C$4:$BW$4,0)))-SUM($AS$5,$AJ$5,$AA$5))/$E$15))),IF(BG19=0,"",BG19))</f>
        <v/>
      </c>
      <c r="BC19" s="112">
        <f t="shared" si="10"/>
        <v>46623.5</v>
      </c>
      <c r="BD19" s="139">
        <f>IFERROR(IF($Z19&gt;$E$12,"",IF($E$5="Uniform Inputs",INDEX($D$45:$E$53,MATCH($BB$3,$B$45:$B$53,0),MATCH(BD$4,$D$44:$E$44,0)),IF(BI19=0,"",BI19))),"")</f>
        <v>70000000</v>
      </c>
      <c r="BE19" s="139">
        <f>IFERROR(IF($Z19&gt;$E$12,"",IF($E$5="Uniform Inputs",INDEX($D$45:$E$53,MATCH($BB$3,$B$45:$B$53,0),MATCH(BE$4,$D$44:$E$44,0)),IF(BJ19=0,"",BJ19))),"")</f>
        <v>375000000</v>
      </c>
      <c r="BF19" s="10">
        <f t="shared" ca="1" si="11"/>
        <v>8.6696542893726011E-2</v>
      </c>
      <c r="BG19" s="11" t="s">
        <v>22</v>
      </c>
      <c r="BH19" s="168">
        <v>46623.5</v>
      </c>
      <c r="BI19" s="11">
        <v>70000000</v>
      </c>
      <c r="BJ19" s="11">
        <v>375000000</v>
      </c>
      <c r="BK19" s="139" t="str">
        <f>IF($E$5="Uniform Inputs",IF($Z19&gt;$E$16,"",IF($E$23="Pro-Rata",MIN(BM19*BF19,(($I$5+'Cash Flows'!$BX$8+INDEX('Cash Flows'!$C$19:$BW$19,1,MATCH(EOMONTH(BL19,MOD(-MONTH(BL19),3)-3),'Cash Flows'!$C$4:$BW$4,0)))-SUM($BB$5,$AS$5,$AJ$5,$AA$5))/$E$16),MIN($E$27,(($I$5+'Cash Flows'!$BX$8+INDEX('Cash Flows'!$C$19:$BW$19,1,MATCH(EOMONTH(BL19,MOD(-MONTH(BL19),3)-3),'Cash Flows'!$C$4:$BW$4,0)))-SUM($BB$5,$AS$5,$AJ$5,$AA$5))/$E$16))),IF(BP19=0,"",BP19))</f>
        <v/>
      </c>
      <c r="BL19" s="112">
        <f t="shared" si="12"/>
        <v>47171</v>
      </c>
      <c r="BM19" s="139">
        <f>IFERROR(IF($Z19&gt;$E$12,"",IF($E$5="Uniform Inputs",INDEX($D$45:$E$53,MATCH($BK$3,$B$45:$B$53,0),MATCH(BM$4,$D$44:$E$44,0)),IF(BR19=0,"",BR19))),"")</f>
        <v>110000000</v>
      </c>
      <c r="BN19" s="139">
        <f>IFERROR(IF($Z19&gt;$E$12,"",IF($E$5="Uniform Inputs",INDEX($D$45:$E$53,MATCH($BK$3,$B$45:$B$53,0),MATCH(BN$4,$D$44:$E$44,0)),IF(BS19=0,"",BS19))),"")</f>
        <v>1000000000</v>
      </c>
      <c r="BO19" s="10">
        <f t="shared" ca="1" si="13"/>
        <v>7.7159923175416159E-2</v>
      </c>
      <c r="BP19" s="11" t="s">
        <v>22</v>
      </c>
      <c r="BQ19" s="168">
        <v>47171</v>
      </c>
      <c r="BR19" s="11">
        <v>110000000</v>
      </c>
      <c r="BS19" s="11">
        <v>1000000000</v>
      </c>
      <c r="BT19" s="139" t="str">
        <f t="shared" si="30"/>
        <v/>
      </c>
      <c r="BU19" s="112">
        <f t="shared" si="14"/>
        <v>47718.5</v>
      </c>
      <c r="BV19" s="139">
        <f>IFERROR(IF($Z19&gt;$E$12,"",IF($E$5="Uniform Inputs",INDEX($D$45:$E$53,MATCH($BT$3,$B$45:$B$53,0),MATCH(BV$4,$D$44:$E$44,0)),IF(CA19=0,"",CA19))),"")</f>
        <v>150000000</v>
      </c>
      <c r="BW19" s="139">
        <f>IFERROR(IF($Z19&gt;$E$12,"",IF($E$5="Uniform Inputs",INDEX($D$45:$E$53,MATCH($BT$3,$B$45:$B$53,0),MATCH(BW$4,$D$44:$E$44,0)),IF(CB19=0,"",CB19))),"")</f>
        <v>1300000000</v>
      </c>
      <c r="BX19" s="10">
        <f t="shared" ca="1" si="15"/>
        <v>6.8256855116714296E-2</v>
      </c>
      <c r="BY19" s="11" t="s">
        <v>22</v>
      </c>
      <c r="BZ19" s="168">
        <v>47718.5</v>
      </c>
      <c r="CA19" s="11">
        <v>150000000</v>
      </c>
      <c r="CB19" s="11">
        <v>1300000000</v>
      </c>
      <c r="CC19" s="139" t="str">
        <f t="shared" si="31"/>
        <v/>
      </c>
      <c r="CD19" s="112">
        <f t="shared" si="16"/>
        <v>48266</v>
      </c>
      <c r="CE19" s="139">
        <f>IFERROR(IF($Z19&gt;$E$12,"",IF($E$5="Uniform Inputs",INDEX($D$45:$E$53,MATCH($CC$3,$B$45:$B$53,0),MATCH(CE$4,$D$44:$E$44,0)),IF(CJ19=0,"",CJ19))),"")</f>
        <v>200000000</v>
      </c>
      <c r="CF19" s="139">
        <f>IFERROR(IF($Z19&gt;$E$12,"",IF($E$5="Uniform Inputs",INDEX($D$45:$E$53,MATCH($CC$3,$B$45:$B$53,0),MATCH(CF$4,$D$44:$E$44,0)),IF(CK19=0,"",CK19))),"")</f>
        <v>2300000000</v>
      </c>
      <c r="CG19" s="10">
        <f t="shared" ca="1" si="17"/>
        <v>6.2321476410913054E-2</v>
      </c>
      <c r="CH19" s="11" t="s">
        <v>22</v>
      </c>
      <c r="CI19" s="168">
        <v>48266</v>
      </c>
      <c r="CJ19" s="11">
        <v>200000000</v>
      </c>
      <c r="CK19" s="11">
        <v>2300000000</v>
      </c>
      <c r="CL19" s="139" t="str">
        <f t="shared" si="32"/>
        <v/>
      </c>
      <c r="CM19" s="112">
        <f t="shared" si="18"/>
        <v>48813.5</v>
      </c>
      <c r="CN19" s="139">
        <f>IFERROR(IF($Z19&gt;$E$12,"",IF($E$5="Uniform Inputs",INDEX($D$45:$E$53,MATCH($CL$3,$B$45:$B$53,0),MATCH(CN$4,$D$44:$E$44,0)),IF(CS19=0,"",CS19))),"")</f>
        <v>275000000</v>
      </c>
      <c r="CO19" s="139">
        <f>IFERROR(IF($Z19&gt;$E$12,"",IF($E$5="Uniform Inputs",INDEX($D$45:$E$53,MATCH($CL$3,$B$45:$B$53,0),MATCH(CO$4,$D$44:$E$44,0)),IF(CT19=0,"",CT19))),"")</f>
        <v>3000000000</v>
      </c>
      <c r="CP19" s="10">
        <f t="shared" ca="1" si="19"/>
        <v>5.6608674406579358E-2</v>
      </c>
      <c r="CQ19" s="11" t="s">
        <v>22</v>
      </c>
      <c r="CR19" s="168">
        <v>48813.5</v>
      </c>
      <c r="CS19" s="11">
        <v>275000000</v>
      </c>
      <c r="CT19" s="11">
        <v>3000000000</v>
      </c>
      <c r="CU19" s="139" t="str">
        <f t="shared" si="33"/>
        <v/>
      </c>
      <c r="CV19" s="112">
        <f t="shared" si="20"/>
        <v>49361</v>
      </c>
      <c r="CW19" s="139" t="str">
        <f>IFERROR(IF($Z19&gt;$E$12,"",IF($E$5="Uniform Inputs",INDEX($D$45:$E$53,MATCH($CU$3,$B$45:$B$53,0),MATCH(CW$4,$D$44:$E$44,0)),IF(DB19=0,"",DB19))),"")</f>
        <v/>
      </c>
      <c r="CX19" s="139" t="str">
        <f>IFERROR(IF($Z19&gt;$E$12,"",IF($E$5="Uniform Inputs",INDEX($D$45:$E$53,MATCH($CU$3,$B$45:$B$53,0),MATCH(CX$4,$D$44:$E$44,0)),IF(DC19=0,"",DC19))),"")</f>
        <v/>
      </c>
      <c r="CY19" s="10" t="str">
        <f t="shared" ca="1" si="21"/>
        <v/>
      </c>
      <c r="CZ19" s="11" t="s">
        <v>22</v>
      </c>
      <c r="DA19" s="168">
        <v>49361</v>
      </c>
      <c r="DB19" s="11" t="s">
        <v>22</v>
      </c>
      <c r="DC19" s="11" t="s">
        <v>22</v>
      </c>
    </row>
    <row r="20" spans="2:107" x14ac:dyDescent="0.25">
      <c r="B20" s="124" t="s">
        <v>92</v>
      </c>
      <c r="C20" s="55"/>
      <c r="D20" s="55"/>
      <c r="E20" s="56"/>
      <c r="G20" s="74" t="s">
        <v>46</v>
      </c>
      <c r="H20" s="55"/>
      <c r="I20" s="56"/>
      <c r="K20" s="6">
        <f t="shared" si="22"/>
        <v>15</v>
      </c>
      <c r="L20" s="32">
        <v>10000000</v>
      </c>
      <c r="M20" s="33" t="s">
        <v>6</v>
      </c>
      <c r="O20" s="6">
        <f t="shared" si="23"/>
        <v>15</v>
      </c>
      <c r="P20" s="35" t="str">
        <f t="shared" ca="1" si="0"/>
        <v>Seed</v>
      </c>
      <c r="Q20" s="102">
        <f t="shared" ca="1" si="1"/>
        <v>0.18181818181818182</v>
      </c>
      <c r="R20" s="102">
        <f t="shared" ca="1" si="2"/>
        <v>0.1065941101152369</v>
      </c>
      <c r="S20" s="112">
        <f t="shared" si="24"/>
        <v>45011</v>
      </c>
      <c r="T20" s="112">
        <f t="shared" ca="1" si="3"/>
        <v>46653.5</v>
      </c>
      <c r="U20" s="1">
        <f t="shared" ca="1" si="25"/>
        <v>2000000</v>
      </c>
      <c r="V20" s="1">
        <f t="shared" ca="1" si="4"/>
        <v>1065941.1011523691</v>
      </c>
      <c r="W20" s="34">
        <f t="shared" ca="1" si="26"/>
        <v>0.53297055057618448</v>
      </c>
      <c r="Y20" s="2">
        <v>15</v>
      </c>
      <c r="Z20" s="6">
        <f t="shared" si="27"/>
        <v>15</v>
      </c>
      <c r="AA20" s="139">
        <f ca="1">IF($E$5="Uniform Inputs",IF($Z20&gt;$E$12,"",MIN($E$21,($I$5+'Cash Flows'!$BX$8+INDEX('Cash Flows'!$C$19:$BW$19,1,MATCH(EOMONTH(AB20,MOD(-MONTH(AB20),3)-3),'Cash Flows'!$C$4:$BW$4,0)))/$E$12)),IF(AF20&gt;0,AF20,""))</f>
        <v>2000000</v>
      </c>
      <c r="AB20" s="112">
        <f t="shared" si="28"/>
        <v>45011</v>
      </c>
      <c r="AC20" s="139">
        <f>IFERROR(IF($Z20&gt;$E$12,"",IF($E$5="Uniform Inputs",INDEX($D$45:$E$53,MATCH($AA$3,$B$45:$B$53,0),MATCH(AC$4,$D$44:$E$44,0)),IF(AH20=0,"",AH20))),"")</f>
        <v>3000000</v>
      </c>
      <c r="AD20" s="139">
        <f>IFERROR(IF($Z20&gt;$E$12,"",IF($E$5="Uniform Inputs",INDEX($D$45:$E$53,MATCH($AA$3,$B$45:$B$53,0),MATCH(AD$4,$D$44:$E$44,0)),IF(AI20=0,"",AI20))),"")</f>
        <v>11000000</v>
      </c>
      <c r="AE20" s="10">
        <f t="shared" ca="1" si="29"/>
        <v>0.18181818181818182</v>
      </c>
      <c r="AF20" s="11">
        <v>2000000</v>
      </c>
      <c r="AG20" s="168">
        <v>45011</v>
      </c>
      <c r="AH20" s="11">
        <v>3000000</v>
      </c>
      <c r="AI20" s="11">
        <v>11000000</v>
      </c>
      <c r="AJ20" s="139" t="str">
        <f>IF($E$5="Uniform Inputs",IF($Z20&gt;$E$13,"",IF($E$23="Pro-Rata",MIN(AL20*AE20,(($I$5+'Cash Flows'!$BX$8+INDEX('Cash Flows'!$C$19:$BW$19,1,MATCH(EOMONTH(AK20,MOD(-MONTH(AK20),3)-3),'Cash Flows'!$C$4:$BW$4,0)))-$AA$5)/$E$13),MIN($E$24,(($I$5+'Cash Flows'!$BX$8+INDEX('Cash Flows'!$C$19:$BW$19,1,MATCH(EOMONTH(AK20,MOD(-MONTH(AK20),3)-3),'Cash Flows'!$C$4:$BW$4,0)))-$AA$5)/$E$13))),IF(AO20=0,"",AO20))</f>
        <v/>
      </c>
      <c r="AK20" s="112">
        <f t="shared" si="6"/>
        <v>45558.5</v>
      </c>
      <c r="AL20" s="139">
        <f>IFERROR(IF($Z20&gt;$E$12,"",IF($E$5="Uniform Inputs",INDEX($D$45:$E$53,MATCH($AJ$3,$B$45:$B$53,0),MATCH(AL$4,$D$44:$E$44,0)),IF(AQ20=0,"",AQ20))),"")</f>
        <v>12000000</v>
      </c>
      <c r="AM20" s="139">
        <f>IFERROR(IF($Z20&gt;$E$12,"",IF($E$5="Uniform Inputs",INDEX($D$45:$E$53,MATCH($AJ$3,$B$45:$B$53,0),MATCH(AM$4,$D$44:$E$44,0)),IF(AR20=0,"",AR20))),"")</f>
        <v>48000000</v>
      </c>
      <c r="AN20" s="10">
        <f t="shared" ca="1" si="7"/>
        <v>0.13636363636363638</v>
      </c>
      <c r="AO20" s="11" t="s">
        <v>22</v>
      </c>
      <c r="AP20" s="168">
        <v>45558.5</v>
      </c>
      <c r="AQ20" s="11">
        <v>12000000</v>
      </c>
      <c r="AR20" s="11">
        <v>48000000</v>
      </c>
      <c r="AS20" s="139" t="str">
        <f>IF($E$5="Uniform Inputs",IF($Z20&gt;$E$14,"",IF($E$23="Pro-Rata",MIN(AU20*AN20,(($I$5+'Cash Flows'!$BX$8+INDEX('Cash Flows'!$C$19:$BW$19,1,MATCH(EOMONTH(AT20,MOD(-MONTH(AT20),3)-3),'Cash Flows'!$C$4:$BW$4,0)))-SUM($AJ$5,$AA$5))/$E$14),MIN($E$25,(($I$5+'Cash Flows'!$BX$8+INDEX('Cash Flows'!$C$19:$BW$19,1,MATCH(EOMONTH(AT20,MOD(-MONTH(AT20),3)-3),'Cash Flows'!$C$4:$BW$4,0)))-SUM($AJ$5,$AA$5))/$E$14))),IF(AX20=0,"",AX20))</f>
        <v/>
      </c>
      <c r="AT20" s="112">
        <f t="shared" si="8"/>
        <v>46106</v>
      </c>
      <c r="AU20" s="139">
        <f>IFERROR(IF($Z20&gt;$E$12,"",IF($E$5="Uniform Inputs",INDEX($D$45:$E$53,MATCH($AS$3,$B$45:$B$53,0),MATCH(AU$4,$D$44:$E$44,0)),IF(AZ20=0,"",AZ20))),"")</f>
        <v>31000000</v>
      </c>
      <c r="AV20" s="139">
        <f>IFERROR(IF($Z20&gt;$E$12,"",IF($E$5="Uniform Inputs",INDEX($D$45:$E$53,MATCH($AS$3,$B$45:$B$53,0),MATCH(AV$4,$D$44:$E$44,0)),IF(BA20=0,"",BA20))),"")</f>
        <v>142000000</v>
      </c>
      <c r="AW20" s="10">
        <f t="shared" ca="1" si="9"/>
        <v>0.1065941101152369</v>
      </c>
      <c r="AX20" s="11" t="s">
        <v>22</v>
      </c>
      <c r="AY20" s="168">
        <v>46106</v>
      </c>
      <c r="AZ20" s="11">
        <v>31000000</v>
      </c>
      <c r="BA20" s="11">
        <v>142000000</v>
      </c>
      <c r="BB20" s="139" t="str">
        <f>IF($E$5="Uniform Inputs",IF($Z20&gt;$E$15,"",IF($E$23="Pro-Rata",MIN(BD20*AW20,(($I$5+'Cash Flows'!$BX$8+INDEX('Cash Flows'!$C$19:$BW$19,1,MATCH(EOMONTH(BC20,MOD(-MONTH(BC20),3)-3),'Cash Flows'!$C$4:$BW$4,0)))-SUM($AS$5,$AJ$5,$AA$5))/$E$15),MIN($E$26,(($I$5+'Cash Flows'!$BX$8+INDEX('Cash Flows'!$C$19:$BW$19,1,MATCH(EOMONTH(BC20,MOD(-MONTH(BC20),3)-3),'Cash Flows'!$C$4:$BW$4,0)))-SUM($AS$5,$AJ$5,$AA$5))/$E$15))),IF(BG20=0,"",BG20))</f>
        <v/>
      </c>
      <c r="BC20" s="112">
        <f t="shared" si="10"/>
        <v>46653.5</v>
      </c>
      <c r="BD20" s="139">
        <f>IFERROR(IF($Z20&gt;$E$12,"",IF($E$5="Uniform Inputs",INDEX($D$45:$E$53,MATCH($BB$3,$B$45:$B$53,0),MATCH(BD$4,$D$44:$E$44,0)),IF(BI20=0,"",BI20))),"")</f>
        <v>70000000</v>
      </c>
      <c r="BE20" s="139">
        <f>IFERROR(IF($Z20&gt;$E$12,"",IF($E$5="Uniform Inputs",INDEX($D$45:$E$53,MATCH($BB$3,$B$45:$B$53,0),MATCH(BE$4,$D$44:$E$44,0)),IF(BJ20=0,"",BJ20))),"")</f>
        <v>375000000</v>
      </c>
      <c r="BF20" s="10">
        <f t="shared" ca="1" si="11"/>
        <v>8.6696542893726011E-2</v>
      </c>
      <c r="BG20" s="11" t="s">
        <v>22</v>
      </c>
      <c r="BH20" s="168">
        <v>46653.5</v>
      </c>
      <c r="BI20" s="11">
        <v>70000000</v>
      </c>
      <c r="BJ20" s="11">
        <v>375000000</v>
      </c>
      <c r="BK20" s="139" t="str">
        <f>IF($E$5="Uniform Inputs",IF($Z20&gt;$E$16,"",IF($E$23="Pro-Rata",MIN(BM20*BF20,(($I$5+'Cash Flows'!$BX$8+INDEX('Cash Flows'!$C$19:$BW$19,1,MATCH(EOMONTH(BL20,MOD(-MONTH(BL20),3)-3),'Cash Flows'!$C$4:$BW$4,0)))-SUM($BB$5,$AS$5,$AJ$5,$AA$5))/$E$16),MIN($E$27,(($I$5+'Cash Flows'!$BX$8+INDEX('Cash Flows'!$C$19:$BW$19,1,MATCH(EOMONTH(BL20,MOD(-MONTH(BL20),3)-3),'Cash Flows'!$C$4:$BW$4,0)))-SUM($BB$5,$AS$5,$AJ$5,$AA$5))/$E$16))),IF(BP20=0,"",BP20))</f>
        <v/>
      </c>
      <c r="BL20" s="112">
        <f t="shared" si="12"/>
        <v>47201</v>
      </c>
      <c r="BM20" s="139">
        <f>IFERROR(IF($Z20&gt;$E$12,"",IF($E$5="Uniform Inputs",INDEX($D$45:$E$53,MATCH($BK$3,$B$45:$B$53,0),MATCH(BM$4,$D$44:$E$44,0)),IF(BR20=0,"",BR20))),"")</f>
        <v>110000000</v>
      </c>
      <c r="BN20" s="139">
        <f>IFERROR(IF($Z20&gt;$E$12,"",IF($E$5="Uniform Inputs",INDEX($D$45:$E$53,MATCH($BK$3,$B$45:$B$53,0),MATCH(BN$4,$D$44:$E$44,0)),IF(BS20=0,"",BS20))),"")</f>
        <v>1000000000</v>
      </c>
      <c r="BO20" s="10">
        <f t="shared" ca="1" si="13"/>
        <v>7.7159923175416159E-2</v>
      </c>
      <c r="BP20" s="11" t="s">
        <v>22</v>
      </c>
      <c r="BQ20" s="168">
        <v>47201</v>
      </c>
      <c r="BR20" s="11">
        <v>110000000</v>
      </c>
      <c r="BS20" s="11">
        <v>1000000000</v>
      </c>
      <c r="BT20" s="139" t="str">
        <f t="shared" si="30"/>
        <v/>
      </c>
      <c r="BU20" s="112">
        <f t="shared" si="14"/>
        <v>47748.5</v>
      </c>
      <c r="BV20" s="139">
        <f>IFERROR(IF($Z20&gt;$E$12,"",IF($E$5="Uniform Inputs",INDEX($D$45:$E$53,MATCH($BT$3,$B$45:$B$53,0),MATCH(BV$4,$D$44:$E$44,0)),IF(CA20=0,"",CA20))),"")</f>
        <v>150000000</v>
      </c>
      <c r="BW20" s="139">
        <f>IFERROR(IF($Z20&gt;$E$12,"",IF($E$5="Uniform Inputs",INDEX($D$45:$E$53,MATCH($BT$3,$B$45:$B$53,0),MATCH(BW$4,$D$44:$E$44,0)),IF(CB20=0,"",CB20))),"")</f>
        <v>1300000000</v>
      </c>
      <c r="BX20" s="10">
        <f t="shared" ca="1" si="15"/>
        <v>6.8256855116714296E-2</v>
      </c>
      <c r="BY20" s="11" t="s">
        <v>22</v>
      </c>
      <c r="BZ20" s="168">
        <v>47748.5</v>
      </c>
      <c r="CA20" s="11">
        <v>150000000</v>
      </c>
      <c r="CB20" s="11">
        <v>1300000000</v>
      </c>
      <c r="CC20" s="139" t="str">
        <f t="shared" si="31"/>
        <v/>
      </c>
      <c r="CD20" s="112">
        <f t="shared" si="16"/>
        <v>48296</v>
      </c>
      <c r="CE20" s="139">
        <f>IFERROR(IF($Z20&gt;$E$12,"",IF($E$5="Uniform Inputs",INDEX($D$45:$E$53,MATCH($CC$3,$B$45:$B$53,0),MATCH(CE$4,$D$44:$E$44,0)),IF(CJ20=0,"",CJ20))),"")</f>
        <v>200000000</v>
      </c>
      <c r="CF20" s="139">
        <f>IFERROR(IF($Z20&gt;$E$12,"",IF($E$5="Uniform Inputs",INDEX($D$45:$E$53,MATCH($CC$3,$B$45:$B$53,0),MATCH(CF$4,$D$44:$E$44,0)),IF(CK20=0,"",CK20))),"")</f>
        <v>2300000000</v>
      </c>
      <c r="CG20" s="10">
        <f t="shared" ca="1" si="17"/>
        <v>6.2321476410913054E-2</v>
      </c>
      <c r="CH20" s="11" t="s">
        <v>22</v>
      </c>
      <c r="CI20" s="168">
        <v>48296</v>
      </c>
      <c r="CJ20" s="11">
        <v>200000000</v>
      </c>
      <c r="CK20" s="11">
        <v>2300000000</v>
      </c>
      <c r="CL20" s="139" t="str">
        <f t="shared" si="32"/>
        <v/>
      </c>
      <c r="CM20" s="112">
        <f t="shared" si="18"/>
        <v>48843.5</v>
      </c>
      <c r="CN20" s="139">
        <f>IFERROR(IF($Z20&gt;$E$12,"",IF($E$5="Uniform Inputs",INDEX($D$45:$E$53,MATCH($CL$3,$B$45:$B$53,0),MATCH(CN$4,$D$44:$E$44,0)),IF(CS20=0,"",CS20))),"")</f>
        <v>275000000</v>
      </c>
      <c r="CO20" s="139">
        <f>IFERROR(IF($Z20&gt;$E$12,"",IF($E$5="Uniform Inputs",INDEX($D$45:$E$53,MATCH($CL$3,$B$45:$B$53,0),MATCH(CO$4,$D$44:$E$44,0)),IF(CT20=0,"",CT20))),"")</f>
        <v>3000000000</v>
      </c>
      <c r="CP20" s="10">
        <f t="shared" ca="1" si="19"/>
        <v>5.6608674406579358E-2</v>
      </c>
      <c r="CQ20" s="11" t="s">
        <v>22</v>
      </c>
      <c r="CR20" s="168">
        <v>48843.5</v>
      </c>
      <c r="CS20" s="11">
        <v>275000000</v>
      </c>
      <c r="CT20" s="11">
        <v>3000000000</v>
      </c>
      <c r="CU20" s="139" t="str">
        <f t="shared" si="33"/>
        <v/>
      </c>
      <c r="CV20" s="112">
        <f t="shared" si="20"/>
        <v>49391</v>
      </c>
      <c r="CW20" s="139" t="str">
        <f>IFERROR(IF($Z20&gt;$E$12,"",IF($E$5="Uniform Inputs",INDEX($D$45:$E$53,MATCH($CU$3,$B$45:$B$53,0),MATCH(CW$4,$D$44:$E$44,0)),IF(DB20=0,"",DB20))),"")</f>
        <v/>
      </c>
      <c r="CX20" s="139" t="str">
        <f>IFERROR(IF($Z20&gt;$E$12,"",IF($E$5="Uniform Inputs",INDEX($D$45:$E$53,MATCH($CU$3,$B$45:$B$53,0),MATCH(CX$4,$D$44:$E$44,0)),IF(DC20=0,"",DC20))),"")</f>
        <v/>
      </c>
      <c r="CY20" s="10" t="str">
        <f t="shared" ca="1" si="21"/>
        <v/>
      </c>
      <c r="CZ20" s="11" t="s">
        <v>22</v>
      </c>
      <c r="DA20" s="168">
        <v>49391</v>
      </c>
      <c r="DB20" s="11" t="s">
        <v>22</v>
      </c>
      <c r="DC20" s="11" t="s">
        <v>22</v>
      </c>
    </row>
    <row r="21" spans="2:107" x14ac:dyDescent="0.25">
      <c r="B21" s="125" t="s">
        <v>93</v>
      </c>
      <c r="D21" s="3"/>
      <c r="E21" s="65">
        <v>2000000</v>
      </c>
      <c r="G21" s="86" t="s">
        <v>47</v>
      </c>
      <c r="H21" s="86"/>
      <c r="I21" s="37">
        <f ca="1">COUNTIF(W6:W105,0)/COUNT(K6:K105)</f>
        <v>0.36</v>
      </c>
      <c r="K21" s="6">
        <f t="shared" si="22"/>
        <v>16</v>
      </c>
      <c r="L21" s="32">
        <v>5000000</v>
      </c>
      <c r="M21" s="141" t="s">
        <v>6</v>
      </c>
      <c r="O21" s="6">
        <f t="shared" si="23"/>
        <v>16</v>
      </c>
      <c r="P21" s="35" t="str">
        <f t="shared" ca="1" si="0"/>
        <v>Seed</v>
      </c>
      <c r="Q21" s="102">
        <f t="shared" ca="1" si="1"/>
        <v>0.18181818181818182</v>
      </c>
      <c r="R21" s="102">
        <f t="shared" ca="1" si="2"/>
        <v>0.1065941101152369</v>
      </c>
      <c r="S21" s="112">
        <f t="shared" si="24"/>
        <v>45041</v>
      </c>
      <c r="T21" s="112">
        <f t="shared" ca="1" si="3"/>
        <v>46683.5</v>
      </c>
      <c r="U21" s="1">
        <f t="shared" ca="1" si="25"/>
        <v>2000000</v>
      </c>
      <c r="V21" s="1">
        <f t="shared" ca="1" si="4"/>
        <v>532970.55057618453</v>
      </c>
      <c r="W21" s="34">
        <f t="shared" ca="1" si="26"/>
        <v>0.26648527528809224</v>
      </c>
      <c r="Y21" s="2">
        <v>16</v>
      </c>
      <c r="Z21" s="6">
        <f t="shared" si="27"/>
        <v>16</v>
      </c>
      <c r="AA21" s="139">
        <f ca="1">IF($E$5="Uniform Inputs",IF($Z21&gt;$E$12,"",MIN($E$21,($I$5+'Cash Flows'!$BX$8+INDEX('Cash Flows'!$C$19:$BW$19,1,MATCH(EOMONTH(AB21,MOD(-MONTH(AB21),3)-3),'Cash Flows'!$C$4:$BW$4,0)))/$E$12)),IF(AF21&gt;0,AF21,""))</f>
        <v>2000000</v>
      </c>
      <c r="AB21" s="112">
        <f t="shared" si="28"/>
        <v>45041</v>
      </c>
      <c r="AC21" s="139">
        <f>IFERROR(IF($Z21&gt;$E$12,"",IF($E$5="Uniform Inputs",INDEX($D$45:$E$53,MATCH($AA$3,$B$45:$B$53,0),MATCH(AC$4,$D$44:$E$44,0)),IF(AH21=0,"",AH21))),"")</f>
        <v>3000000</v>
      </c>
      <c r="AD21" s="139">
        <f>IFERROR(IF($Z21&gt;$E$12,"",IF($E$5="Uniform Inputs",INDEX($D$45:$E$53,MATCH($AA$3,$B$45:$B$53,0),MATCH(AD$4,$D$44:$E$44,0)),IF(AI21=0,"",AI21))),"")</f>
        <v>11000000</v>
      </c>
      <c r="AE21" s="10">
        <f t="shared" ca="1" si="29"/>
        <v>0.18181818181818182</v>
      </c>
      <c r="AF21" s="11">
        <v>2000000</v>
      </c>
      <c r="AG21" s="168">
        <v>45041</v>
      </c>
      <c r="AH21" s="11">
        <v>3000000</v>
      </c>
      <c r="AI21" s="11">
        <v>11000000</v>
      </c>
      <c r="AJ21" s="139" t="str">
        <f>IF($E$5="Uniform Inputs",IF($Z21&gt;$E$13,"",IF($E$23="Pro-Rata",MIN(AL21*AE21,(($I$5+'Cash Flows'!$BX$8+INDEX('Cash Flows'!$C$19:$BW$19,1,MATCH(EOMONTH(AK21,MOD(-MONTH(AK21),3)-3),'Cash Flows'!$C$4:$BW$4,0)))-$AA$5)/$E$13),MIN($E$24,(($I$5+'Cash Flows'!$BX$8+INDEX('Cash Flows'!$C$19:$BW$19,1,MATCH(EOMONTH(AK21,MOD(-MONTH(AK21),3)-3),'Cash Flows'!$C$4:$BW$4,0)))-$AA$5)/$E$13))),IF(AO21=0,"",AO21))</f>
        <v/>
      </c>
      <c r="AK21" s="112">
        <f t="shared" si="6"/>
        <v>45588.5</v>
      </c>
      <c r="AL21" s="139">
        <f>IFERROR(IF($Z21&gt;$E$12,"",IF($E$5="Uniform Inputs",INDEX($D$45:$E$53,MATCH($AJ$3,$B$45:$B$53,0),MATCH(AL$4,$D$44:$E$44,0)),IF(AQ21=0,"",AQ21))),"")</f>
        <v>12000000</v>
      </c>
      <c r="AM21" s="139">
        <f>IFERROR(IF($Z21&gt;$E$12,"",IF($E$5="Uniform Inputs",INDEX($D$45:$E$53,MATCH($AJ$3,$B$45:$B$53,0),MATCH(AM$4,$D$44:$E$44,0)),IF(AR21=0,"",AR21))),"")</f>
        <v>48000000</v>
      </c>
      <c r="AN21" s="10">
        <f t="shared" ca="1" si="7"/>
        <v>0.13636363636363638</v>
      </c>
      <c r="AO21" s="11" t="s">
        <v>22</v>
      </c>
      <c r="AP21" s="168">
        <v>45588.5</v>
      </c>
      <c r="AQ21" s="11">
        <v>12000000</v>
      </c>
      <c r="AR21" s="11">
        <v>48000000</v>
      </c>
      <c r="AS21" s="139" t="str">
        <f>IF($E$5="Uniform Inputs",IF($Z21&gt;$E$14,"",IF($E$23="Pro-Rata",MIN(AU21*AN21,(($I$5+'Cash Flows'!$BX$8+INDEX('Cash Flows'!$C$19:$BW$19,1,MATCH(EOMONTH(AT21,MOD(-MONTH(AT21),3)-3),'Cash Flows'!$C$4:$BW$4,0)))-SUM($AJ$5,$AA$5))/$E$14),MIN($E$25,(($I$5+'Cash Flows'!$BX$8+INDEX('Cash Flows'!$C$19:$BW$19,1,MATCH(EOMONTH(AT21,MOD(-MONTH(AT21),3)-3),'Cash Flows'!$C$4:$BW$4,0)))-SUM($AJ$5,$AA$5))/$E$14))),IF(AX21=0,"",AX21))</f>
        <v/>
      </c>
      <c r="AT21" s="112">
        <f t="shared" si="8"/>
        <v>46136</v>
      </c>
      <c r="AU21" s="139">
        <f>IFERROR(IF($Z21&gt;$E$12,"",IF($E$5="Uniform Inputs",INDEX($D$45:$E$53,MATCH($AS$3,$B$45:$B$53,0),MATCH(AU$4,$D$44:$E$44,0)),IF(AZ21=0,"",AZ21))),"")</f>
        <v>31000000</v>
      </c>
      <c r="AV21" s="139">
        <f>IFERROR(IF($Z21&gt;$E$12,"",IF($E$5="Uniform Inputs",INDEX($D$45:$E$53,MATCH($AS$3,$B$45:$B$53,0),MATCH(AV$4,$D$44:$E$44,0)),IF(BA21=0,"",BA21))),"")</f>
        <v>142000000</v>
      </c>
      <c r="AW21" s="10">
        <f t="shared" ca="1" si="9"/>
        <v>0.1065941101152369</v>
      </c>
      <c r="AX21" s="11" t="s">
        <v>22</v>
      </c>
      <c r="AY21" s="168">
        <v>46136</v>
      </c>
      <c r="AZ21" s="11">
        <v>31000000</v>
      </c>
      <c r="BA21" s="11">
        <v>142000000</v>
      </c>
      <c r="BB21" s="139" t="str">
        <f>IF($E$5="Uniform Inputs",IF($Z21&gt;$E$15,"",IF($E$23="Pro-Rata",MIN(BD21*AW21,(($I$5+'Cash Flows'!$BX$8+INDEX('Cash Flows'!$C$19:$BW$19,1,MATCH(EOMONTH(BC21,MOD(-MONTH(BC21),3)-3),'Cash Flows'!$C$4:$BW$4,0)))-SUM($AS$5,$AJ$5,$AA$5))/$E$15),MIN($E$26,(($I$5+'Cash Flows'!$BX$8+INDEX('Cash Flows'!$C$19:$BW$19,1,MATCH(EOMONTH(BC21,MOD(-MONTH(BC21),3)-3),'Cash Flows'!$C$4:$BW$4,0)))-SUM($AS$5,$AJ$5,$AA$5))/$E$15))),IF(BG21=0,"",BG21))</f>
        <v/>
      </c>
      <c r="BC21" s="112">
        <f t="shared" si="10"/>
        <v>46683.5</v>
      </c>
      <c r="BD21" s="139">
        <f>IFERROR(IF($Z21&gt;$E$12,"",IF($E$5="Uniform Inputs",INDEX($D$45:$E$53,MATCH($BB$3,$B$45:$B$53,0),MATCH(BD$4,$D$44:$E$44,0)),IF(BI21=0,"",BI21))),"")</f>
        <v>70000000</v>
      </c>
      <c r="BE21" s="139">
        <f>IFERROR(IF($Z21&gt;$E$12,"",IF($E$5="Uniform Inputs",INDEX($D$45:$E$53,MATCH($BB$3,$B$45:$B$53,0),MATCH(BE$4,$D$44:$E$44,0)),IF(BJ21=0,"",BJ21))),"")</f>
        <v>375000000</v>
      </c>
      <c r="BF21" s="10">
        <f t="shared" ca="1" si="11"/>
        <v>8.6696542893726011E-2</v>
      </c>
      <c r="BG21" s="11" t="s">
        <v>22</v>
      </c>
      <c r="BH21" s="168">
        <v>46683.5</v>
      </c>
      <c r="BI21" s="11">
        <v>70000000</v>
      </c>
      <c r="BJ21" s="11">
        <v>375000000</v>
      </c>
      <c r="BK21" s="139" t="str">
        <f>IF($E$5="Uniform Inputs",IF($Z21&gt;$E$16,"",IF($E$23="Pro-Rata",MIN(BM21*BF21,(($I$5+'Cash Flows'!$BX$8+INDEX('Cash Flows'!$C$19:$BW$19,1,MATCH(EOMONTH(BL21,MOD(-MONTH(BL21),3)-3),'Cash Flows'!$C$4:$BW$4,0)))-SUM($BB$5,$AS$5,$AJ$5,$AA$5))/$E$16),MIN($E$27,(($I$5+'Cash Flows'!$BX$8+INDEX('Cash Flows'!$C$19:$BW$19,1,MATCH(EOMONTH(BL21,MOD(-MONTH(BL21),3)-3),'Cash Flows'!$C$4:$BW$4,0)))-SUM($BB$5,$AS$5,$AJ$5,$AA$5))/$E$16))),IF(BP21=0,"",BP21))</f>
        <v/>
      </c>
      <c r="BL21" s="112">
        <f t="shared" si="12"/>
        <v>47231</v>
      </c>
      <c r="BM21" s="139">
        <f>IFERROR(IF($Z21&gt;$E$12,"",IF($E$5="Uniform Inputs",INDEX($D$45:$E$53,MATCH($BK$3,$B$45:$B$53,0),MATCH(BM$4,$D$44:$E$44,0)),IF(BR21=0,"",BR21))),"")</f>
        <v>110000000</v>
      </c>
      <c r="BN21" s="139">
        <f>IFERROR(IF($Z21&gt;$E$12,"",IF($E$5="Uniform Inputs",INDEX($D$45:$E$53,MATCH($BK$3,$B$45:$B$53,0),MATCH(BN$4,$D$44:$E$44,0)),IF(BS21=0,"",BS21))),"")</f>
        <v>1000000000</v>
      </c>
      <c r="BO21" s="10">
        <f t="shared" ca="1" si="13"/>
        <v>7.7159923175416159E-2</v>
      </c>
      <c r="BP21" s="11" t="s">
        <v>22</v>
      </c>
      <c r="BQ21" s="168">
        <v>47231</v>
      </c>
      <c r="BR21" s="11">
        <v>110000000</v>
      </c>
      <c r="BS21" s="11">
        <v>1000000000</v>
      </c>
      <c r="BT21" s="139" t="str">
        <f t="shared" si="30"/>
        <v/>
      </c>
      <c r="BU21" s="112">
        <f t="shared" si="14"/>
        <v>47778.5</v>
      </c>
      <c r="BV21" s="139">
        <f>IFERROR(IF($Z21&gt;$E$12,"",IF($E$5="Uniform Inputs",INDEX($D$45:$E$53,MATCH($BT$3,$B$45:$B$53,0),MATCH(BV$4,$D$44:$E$44,0)),IF(CA21=0,"",CA21))),"")</f>
        <v>150000000</v>
      </c>
      <c r="BW21" s="139">
        <f>IFERROR(IF($Z21&gt;$E$12,"",IF($E$5="Uniform Inputs",INDEX($D$45:$E$53,MATCH($BT$3,$B$45:$B$53,0),MATCH(BW$4,$D$44:$E$44,0)),IF(CB21=0,"",CB21))),"")</f>
        <v>1300000000</v>
      </c>
      <c r="BX21" s="10">
        <f t="shared" ca="1" si="15"/>
        <v>6.8256855116714296E-2</v>
      </c>
      <c r="BY21" s="11" t="s">
        <v>22</v>
      </c>
      <c r="BZ21" s="168">
        <v>47778.5</v>
      </c>
      <c r="CA21" s="11">
        <v>150000000</v>
      </c>
      <c r="CB21" s="11">
        <v>1300000000</v>
      </c>
      <c r="CC21" s="139" t="str">
        <f t="shared" si="31"/>
        <v/>
      </c>
      <c r="CD21" s="112">
        <f t="shared" si="16"/>
        <v>48326</v>
      </c>
      <c r="CE21" s="139">
        <f>IFERROR(IF($Z21&gt;$E$12,"",IF($E$5="Uniform Inputs",INDEX($D$45:$E$53,MATCH($CC$3,$B$45:$B$53,0),MATCH(CE$4,$D$44:$E$44,0)),IF(CJ21=0,"",CJ21))),"")</f>
        <v>200000000</v>
      </c>
      <c r="CF21" s="139">
        <f>IFERROR(IF($Z21&gt;$E$12,"",IF($E$5="Uniform Inputs",INDEX($D$45:$E$53,MATCH($CC$3,$B$45:$B$53,0),MATCH(CF$4,$D$44:$E$44,0)),IF(CK21=0,"",CK21))),"")</f>
        <v>2300000000</v>
      </c>
      <c r="CG21" s="10">
        <f t="shared" ca="1" si="17"/>
        <v>6.2321476410913054E-2</v>
      </c>
      <c r="CH21" s="11" t="s">
        <v>22</v>
      </c>
      <c r="CI21" s="168">
        <v>48326</v>
      </c>
      <c r="CJ21" s="11">
        <v>200000000</v>
      </c>
      <c r="CK21" s="11">
        <v>2300000000</v>
      </c>
      <c r="CL21" s="139" t="str">
        <f t="shared" si="32"/>
        <v/>
      </c>
      <c r="CM21" s="112">
        <f t="shared" si="18"/>
        <v>48873.5</v>
      </c>
      <c r="CN21" s="139">
        <f>IFERROR(IF($Z21&gt;$E$12,"",IF($E$5="Uniform Inputs",INDEX($D$45:$E$53,MATCH($CL$3,$B$45:$B$53,0),MATCH(CN$4,$D$44:$E$44,0)),IF(CS21=0,"",CS21))),"")</f>
        <v>275000000</v>
      </c>
      <c r="CO21" s="139">
        <f>IFERROR(IF($Z21&gt;$E$12,"",IF($E$5="Uniform Inputs",INDEX($D$45:$E$53,MATCH($CL$3,$B$45:$B$53,0),MATCH(CO$4,$D$44:$E$44,0)),IF(CT21=0,"",CT21))),"")</f>
        <v>3000000000</v>
      </c>
      <c r="CP21" s="10">
        <f t="shared" ca="1" si="19"/>
        <v>5.6608674406579358E-2</v>
      </c>
      <c r="CQ21" s="11" t="s">
        <v>22</v>
      </c>
      <c r="CR21" s="168">
        <v>48873.5</v>
      </c>
      <c r="CS21" s="11">
        <v>275000000</v>
      </c>
      <c r="CT21" s="11">
        <v>3000000000</v>
      </c>
      <c r="CU21" s="139" t="str">
        <f t="shared" si="33"/>
        <v/>
      </c>
      <c r="CV21" s="112">
        <f t="shared" si="20"/>
        <v>49421</v>
      </c>
      <c r="CW21" s="139" t="str">
        <f>IFERROR(IF($Z21&gt;$E$12,"",IF($E$5="Uniform Inputs",INDEX($D$45:$E$53,MATCH($CU$3,$B$45:$B$53,0),MATCH(CW$4,$D$44:$E$44,0)),IF(DB21=0,"",DB21))),"")</f>
        <v/>
      </c>
      <c r="CX21" s="139" t="str">
        <f>IFERROR(IF($Z21&gt;$E$12,"",IF($E$5="Uniform Inputs",INDEX($D$45:$E$53,MATCH($CU$3,$B$45:$B$53,0),MATCH(CX$4,$D$44:$E$44,0)),IF(DC21=0,"",DC21))),"")</f>
        <v/>
      </c>
      <c r="CY21" s="10" t="str">
        <f t="shared" ca="1" si="21"/>
        <v/>
      </c>
      <c r="CZ21" s="11" t="s">
        <v>22</v>
      </c>
      <c r="DA21" s="168">
        <v>49421</v>
      </c>
      <c r="DB21" s="11" t="s">
        <v>22</v>
      </c>
      <c r="DC21" s="11" t="s">
        <v>22</v>
      </c>
    </row>
    <row r="22" spans="2:107" x14ac:dyDescent="0.25">
      <c r="B22" s="126" t="s">
        <v>94</v>
      </c>
      <c r="D22" s="3"/>
      <c r="E22" s="64" t="s">
        <v>0</v>
      </c>
      <c r="G22" s="86" t="s">
        <v>48</v>
      </c>
      <c r="H22" s="86"/>
      <c r="I22" s="37">
        <f ca="1">COUNTIF(W6:W105,"&lt;1")/COUNT(K6:K105)</f>
        <v>0.48</v>
      </c>
      <c r="K22" s="6">
        <f t="shared" si="22"/>
        <v>17</v>
      </c>
      <c r="L22" s="32">
        <v>0</v>
      </c>
      <c r="M22" s="33" t="s">
        <v>6</v>
      </c>
      <c r="O22" s="6">
        <f t="shared" si="23"/>
        <v>17</v>
      </c>
      <c r="P22" s="35" t="str">
        <f t="shared" ca="1" si="0"/>
        <v>Seed</v>
      </c>
      <c r="Q22" s="102">
        <f t="shared" ca="1" si="1"/>
        <v>0.18181818181818182</v>
      </c>
      <c r="R22" s="102">
        <f t="shared" ca="1" si="2"/>
        <v>0.1065941101152369</v>
      </c>
      <c r="S22" s="112">
        <f t="shared" si="24"/>
        <v>45071</v>
      </c>
      <c r="T22" s="112">
        <f t="shared" ca="1" si="3"/>
        <v>46713.5</v>
      </c>
      <c r="U22" s="1">
        <f t="shared" ca="1" si="25"/>
        <v>2000000</v>
      </c>
      <c r="V22" s="1">
        <f t="shared" ca="1" si="4"/>
        <v>0</v>
      </c>
      <c r="W22" s="34">
        <f t="shared" ca="1" si="26"/>
        <v>0</v>
      </c>
      <c r="Y22" s="2">
        <v>17</v>
      </c>
      <c r="Z22" s="6">
        <f t="shared" si="27"/>
        <v>17</v>
      </c>
      <c r="AA22" s="139">
        <f ca="1">IF($E$5="Uniform Inputs",IF($Z22&gt;$E$12,"",MIN($E$21,($I$5+'Cash Flows'!$BX$8+INDEX('Cash Flows'!$C$19:$BW$19,1,MATCH(EOMONTH(AB22,MOD(-MONTH(AB22),3)-3),'Cash Flows'!$C$4:$BW$4,0)))/$E$12)),IF(AF22&gt;0,AF22,""))</f>
        <v>2000000</v>
      </c>
      <c r="AB22" s="112">
        <f t="shared" si="28"/>
        <v>45071</v>
      </c>
      <c r="AC22" s="139">
        <f>IFERROR(IF($Z22&gt;$E$12,"",IF($E$5="Uniform Inputs",INDEX($D$45:$E$53,MATCH($AA$3,$B$45:$B$53,0),MATCH(AC$4,$D$44:$E$44,0)),IF(AH22=0,"",AH22))),"")</f>
        <v>3000000</v>
      </c>
      <c r="AD22" s="139">
        <f>IFERROR(IF($Z22&gt;$E$12,"",IF($E$5="Uniform Inputs",INDEX($D$45:$E$53,MATCH($AA$3,$B$45:$B$53,0),MATCH(AD$4,$D$44:$E$44,0)),IF(AI22=0,"",AI22))),"")</f>
        <v>11000000</v>
      </c>
      <c r="AE22" s="10">
        <f t="shared" ca="1" si="29"/>
        <v>0.18181818181818182</v>
      </c>
      <c r="AF22" s="11">
        <v>2000000</v>
      </c>
      <c r="AG22" s="168">
        <v>45071</v>
      </c>
      <c r="AH22" s="11">
        <v>3000000</v>
      </c>
      <c r="AI22" s="11">
        <v>11000000</v>
      </c>
      <c r="AJ22" s="139" t="str">
        <f>IF($E$5="Uniform Inputs",IF($Z22&gt;$E$13,"",IF($E$23="Pro-Rata",MIN(AL22*AE22,(($I$5+'Cash Flows'!$BX$8+INDEX('Cash Flows'!$C$19:$BW$19,1,MATCH(EOMONTH(AK22,MOD(-MONTH(AK22),3)-3),'Cash Flows'!$C$4:$BW$4,0)))-$AA$5)/$E$13),MIN($E$24,(($I$5+'Cash Flows'!$BX$8+INDEX('Cash Flows'!$C$19:$BW$19,1,MATCH(EOMONTH(AK22,MOD(-MONTH(AK22),3)-3),'Cash Flows'!$C$4:$BW$4,0)))-$AA$5)/$E$13))),IF(AO22=0,"",AO22))</f>
        <v/>
      </c>
      <c r="AK22" s="112">
        <f t="shared" si="6"/>
        <v>45618.5</v>
      </c>
      <c r="AL22" s="139">
        <f>IFERROR(IF($Z22&gt;$E$12,"",IF($E$5="Uniform Inputs",INDEX($D$45:$E$53,MATCH($AJ$3,$B$45:$B$53,0),MATCH(AL$4,$D$44:$E$44,0)),IF(AQ22=0,"",AQ22))),"")</f>
        <v>12000000</v>
      </c>
      <c r="AM22" s="139">
        <f>IFERROR(IF($Z22&gt;$E$12,"",IF($E$5="Uniform Inputs",INDEX($D$45:$E$53,MATCH($AJ$3,$B$45:$B$53,0),MATCH(AM$4,$D$44:$E$44,0)),IF(AR22=0,"",AR22))),"")</f>
        <v>48000000</v>
      </c>
      <c r="AN22" s="10">
        <f t="shared" ca="1" si="7"/>
        <v>0.13636363636363638</v>
      </c>
      <c r="AO22" s="11" t="s">
        <v>22</v>
      </c>
      <c r="AP22" s="168">
        <v>45618.5</v>
      </c>
      <c r="AQ22" s="11">
        <v>12000000</v>
      </c>
      <c r="AR22" s="11">
        <v>48000000</v>
      </c>
      <c r="AS22" s="139" t="str">
        <f>IF($E$5="Uniform Inputs",IF($Z22&gt;$E$14,"",IF($E$23="Pro-Rata",MIN(AU22*AN22,(($I$5+'Cash Flows'!$BX$8+INDEX('Cash Flows'!$C$19:$BW$19,1,MATCH(EOMONTH(AT22,MOD(-MONTH(AT22),3)-3),'Cash Flows'!$C$4:$BW$4,0)))-SUM($AJ$5,$AA$5))/$E$14),MIN($E$25,(($I$5+'Cash Flows'!$BX$8+INDEX('Cash Flows'!$C$19:$BW$19,1,MATCH(EOMONTH(AT22,MOD(-MONTH(AT22),3)-3),'Cash Flows'!$C$4:$BW$4,0)))-SUM($AJ$5,$AA$5))/$E$14))),IF(AX22=0,"",AX22))</f>
        <v/>
      </c>
      <c r="AT22" s="112">
        <f t="shared" si="8"/>
        <v>46166</v>
      </c>
      <c r="AU22" s="139">
        <f>IFERROR(IF($Z22&gt;$E$12,"",IF($E$5="Uniform Inputs",INDEX($D$45:$E$53,MATCH($AS$3,$B$45:$B$53,0),MATCH(AU$4,$D$44:$E$44,0)),IF(AZ22=0,"",AZ22))),"")</f>
        <v>31000000</v>
      </c>
      <c r="AV22" s="139">
        <f>IFERROR(IF($Z22&gt;$E$12,"",IF($E$5="Uniform Inputs",INDEX($D$45:$E$53,MATCH($AS$3,$B$45:$B$53,0),MATCH(AV$4,$D$44:$E$44,0)),IF(BA22=0,"",BA22))),"")</f>
        <v>142000000</v>
      </c>
      <c r="AW22" s="10">
        <f t="shared" ca="1" si="9"/>
        <v>0.1065941101152369</v>
      </c>
      <c r="AX22" s="11" t="s">
        <v>22</v>
      </c>
      <c r="AY22" s="168">
        <v>46166</v>
      </c>
      <c r="AZ22" s="11">
        <v>31000000</v>
      </c>
      <c r="BA22" s="11">
        <v>142000000</v>
      </c>
      <c r="BB22" s="139" t="str">
        <f>IF($E$5="Uniform Inputs",IF($Z22&gt;$E$15,"",IF($E$23="Pro-Rata",MIN(BD22*AW22,(($I$5+'Cash Flows'!$BX$8+INDEX('Cash Flows'!$C$19:$BW$19,1,MATCH(EOMONTH(BC22,MOD(-MONTH(BC22),3)-3),'Cash Flows'!$C$4:$BW$4,0)))-SUM($AS$5,$AJ$5,$AA$5))/$E$15),MIN($E$26,(($I$5+'Cash Flows'!$BX$8+INDEX('Cash Flows'!$C$19:$BW$19,1,MATCH(EOMONTH(BC22,MOD(-MONTH(BC22),3)-3),'Cash Flows'!$C$4:$BW$4,0)))-SUM($AS$5,$AJ$5,$AA$5))/$E$15))),IF(BG22=0,"",BG22))</f>
        <v/>
      </c>
      <c r="BC22" s="112">
        <f t="shared" si="10"/>
        <v>46713.5</v>
      </c>
      <c r="BD22" s="139">
        <f>IFERROR(IF($Z22&gt;$E$12,"",IF($E$5="Uniform Inputs",INDEX($D$45:$E$53,MATCH($BB$3,$B$45:$B$53,0),MATCH(BD$4,$D$44:$E$44,0)),IF(BI22=0,"",BI22))),"")</f>
        <v>70000000</v>
      </c>
      <c r="BE22" s="139">
        <f>IFERROR(IF($Z22&gt;$E$12,"",IF($E$5="Uniform Inputs",INDEX($D$45:$E$53,MATCH($BB$3,$B$45:$B$53,0),MATCH(BE$4,$D$44:$E$44,0)),IF(BJ22=0,"",BJ22))),"")</f>
        <v>375000000</v>
      </c>
      <c r="BF22" s="10">
        <f t="shared" ca="1" si="11"/>
        <v>8.6696542893726011E-2</v>
      </c>
      <c r="BG22" s="11" t="s">
        <v>22</v>
      </c>
      <c r="BH22" s="168">
        <v>46713.5</v>
      </c>
      <c r="BI22" s="11">
        <v>70000000</v>
      </c>
      <c r="BJ22" s="11">
        <v>375000000</v>
      </c>
      <c r="BK22" s="139" t="str">
        <f>IF($E$5="Uniform Inputs",IF($Z22&gt;$E$16,"",IF($E$23="Pro-Rata",MIN(BM22*BF22,(($I$5+'Cash Flows'!$BX$8+INDEX('Cash Flows'!$C$19:$BW$19,1,MATCH(EOMONTH(BL22,MOD(-MONTH(BL22),3)-3),'Cash Flows'!$C$4:$BW$4,0)))-SUM($BB$5,$AS$5,$AJ$5,$AA$5))/$E$16),MIN($E$27,(($I$5+'Cash Flows'!$BX$8+INDEX('Cash Flows'!$C$19:$BW$19,1,MATCH(EOMONTH(BL22,MOD(-MONTH(BL22),3)-3),'Cash Flows'!$C$4:$BW$4,0)))-SUM($BB$5,$AS$5,$AJ$5,$AA$5))/$E$16))),IF(BP22=0,"",BP22))</f>
        <v/>
      </c>
      <c r="BL22" s="112">
        <f t="shared" si="12"/>
        <v>47261</v>
      </c>
      <c r="BM22" s="139">
        <f>IFERROR(IF($Z22&gt;$E$12,"",IF($E$5="Uniform Inputs",INDEX($D$45:$E$53,MATCH($BK$3,$B$45:$B$53,0),MATCH(BM$4,$D$44:$E$44,0)),IF(BR22=0,"",BR22))),"")</f>
        <v>110000000</v>
      </c>
      <c r="BN22" s="139">
        <f>IFERROR(IF($Z22&gt;$E$12,"",IF($E$5="Uniform Inputs",INDEX($D$45:$E$53,MATCH($BK$3,$B$45:$B$53,0),MATCH(BN$4,$D$44:$E$44,0)),IF(BS22=0,"",BS22))),"")</f>
        <v>1000000000</v>
      </c>
      <c r="BO22" s="10">
        <f t="shared" ca="1" si="13"/>
        <v>7.7159923175416159E-2</v>
      </c>
      <c r="BP22" s="11" t="s">
        <v>22</v>
      </c>
      <c r="BQ22" s="168">
        <v>47261</v>
      </c>
      <c r="BR22" s="11">
        <v>110000000</v>
      </c>
      <c r="BS22" s="11">
        <v>1000000000</v>
      </c>
      <c r="BT22" s="139" t="str">
        <f t="shared" si="30"/>
        <v/>
      </c>
      <c r="BU22" s="112">
        <f t="shared" si="14"/>
        <v>47808.5</v>
      </c>
      <c r="BV22" s="139">
        <f>IFERROR(IF($Z22&gt;$E$12,"",IF($E$5="Uniform Inputs",INDEX($D$45:$E$53,MATCH($BT$3,$B$45:$B$53,0),MATCH(BV$4,$D$44:$E$44,0)),IF(CA22=0,"",CA22))),"")</f>
        <v>150000000</v>
      </c>
      <c r="BW22" s="139">
        <f>IFERROR(IF($Z22&gt;$E$12,"",IF($E$5="Uniform Inputs",INDEX($D$45:$E$53,MATCH($BT$3,$B$45:$B$53,0),MATCH(BW$4,$D$44:$E$44,0)),IF(CB22=0,"",CB22))),"")</f>
        <v>1300000000</v>
      </c>
      <c r="BX22" s="10">
        <f t="shared" ca="1" si="15"/>
        <v>6.8256855116714296E-2</v>
      </c>
      <c r="BY22" s="11" t="s">
        <v>22</v>
      </c>
      <c r="BZ22" s="168">
        <v>47808.5</v>
      </c>
      <c r="CA22" s="11">
        <v>150000000</v>
      </c>
      <c r="CB22" s="11">
        <v>1300000000</v>
      </c>
      <c r="CC22" s="139" t="str">
        <f t="shared" si="31"/>
        <v/>
      </c>
      <c r="CD22" s="112">
        <f t="shared" si="16"/>
        <v>48356</v>
      </c>
      <c r="CE22" s="139">
        <f>IFERROR(IF($Z22&gt;$E$12,"",IF($E$5="Uniform Inputs",INDEX($D$45:$E$53,MATCH($CC$3,$B$45:$B$53,0),MATCH(CE$4,$D$44:$E$44,0)),IF(CJ22=0,"",CJ22))),"")</f>
        <v>200000000</v>
      </c>
      <c r="CF22" s="139">
        <f>IFERROR(IF($Z22&gt;$E$12,"",IF($E$5="Uniform Inputs",INDEX($D$45:$E$53,MATCH($CC$3,$B$45:$B$53,0),MATCH(CF$4,$D$44:$E$44,0)),IF(CK22=0,"",CK22))),"")</f>
        <v>2300000000</v>
      </c>
      <c r="CG22" s="10">
        <f t="shared" ca="1" si="17"/>
        <v>6.2321476410913054E-2</v>
      </c>
      <c r="CH22" s="11" t="s">
        <v>22</v>
      </c>
      <c r="CI22" s="168">
        <v>48356</v>
      </c>
      <c r="CJ22" s="11">
        <v>200000000</v>
      </c>
      <c r="CK22" s="11">
        <v>2300000000</v>
      </c>
      <c r="CL22" s="139" t="str">
        <f t="shared" si="32"/>
        <v/>
      </c>
      <c r="CM22" s="112">
        <f t="shared" si="18"/>
        <v>48903.5</v>
      </c>
      <c r="CN22" s="139">
        <f>IFERROR(IF($Z22&gt;$E$12,"",IF($E$5="Uniform Inputs",INDEX($D$45:$E$53,MATCH($CL$3,$B$45:$B$53,0),MATCH(CN$4,$D$44:$E$44,0)),IF(CS22=0,"",CS22))),"")</f>
        <v>275000000</v>
      </c>
      <c r="CO22" s="139">
        <f>IFERROR(IF($Z22&gt;$E$12,"",IF($E$5="Uniform Inputs",INDEX($D$45:$E$53,MATCH($CL$3,$B$45:$B$53,0),MATCH(CO$4,$D$44:$E$44,0)),IF(CT22=0,"",CT22))),"")</f>
        <v>3000000000</v>
      </c>
      <c r="CP22" s="10">
        <f t="shared" ca="1" si="19"/>
        <v>5.6608674406579358E-2</v>
      </c>
      <c r="CQ22" s="11" t="s">
        <v>22</v>
      </c>
      <c r="CR22" s="168">
        <v>48903.5</v>
      </c>
      <c r="CS22" s="11">
        <v>275000000</v>
      </c>
      <c r="CT22" s="11">
        <v>3000000000</v>
      </c>
      <c r="CU22" s="139" t="str">
        <f t="shared" si="33"/>
        <v/>
      </c>
      <c r="CV22" s="112">
        <f t="shared" si="20"/>
        <v>49451</v>
      </c>
      <c r="CW22" s="139" t="str">
        <f>IFERROR(IF($Z22&gt;$E$12,"",IF($E$5="Uniform Inputs",INDEX($D$45:$E$53,MATCH($CU$3,$B$45:$B$53,0),MATCH(CW$4,$D$44:$E$44,0)),IF(DB22=0,"",DB22))),"")</f>
        <v/>
      </c>
      <c r="CX22" s="139" t="str">
        <f>IFERROR(IF($Z22&gt;$E$12,"",IF($E$5="Uniform Inputs",INDEX($D$45:$E$53,MATCH($CU$3,$B$45:$B$53,0),MATCH(CX$4,$D$44:$E$44,0)),IF(DC22=0,"",DC22))),"")</f>
        <v/>
      </c>
      <c r="CY22" s="10" t="str">
        <f t="shared" ca="1" si="21"/>
        <v/>
      </c>
      <c r="CZ22" s="11" t="s">
        <v>22</v>
      </c>
      <c r="DA22" s="168">
        <v>49451</v>
      </c>
      <c r="DB22" s="11" t="s">
        <v>22</v>
      </c>
      <c r="DC22" s="11" t="s">
        <v>22</v>
      </c>
    </row>
    <row r="23" spans="2:107" x14ac:dyDescent="0.25">
      <c r="B23" s="127" t="s">
        <v>95</v>
      </c>
      <c r="D23" s="3"/>
      <c r="E23" s="64" t="s">
        <v>133</v>
      </c>
      <c r="G23" s="86" t="s">
        <v>49</v>
      </c>
      <c r="H23" s="86"/>
      <c r="I23" s="37">
        <f ca="1">SUMIF(W6:W105,0,U6:U105)/U5</f>
        <v>0.21654135338345865</v>
      </c>
      <c r="K23" s="6">
        <f t="shared" si="22"/>
        <v>18</v>
      </c>
      <c r="L23" s="32">
        <v>0</v>
      </c>
      <c r="M23" s="33" t="s">
        <v>6</v>
      </c>
      <c r="O23" s="6">
        <f t="shared" si="23"/>
        <v>18</v>
      </c>
      <c r="P23" s="35" t="str">
        <f t="shared" ca="1" si="0"/>
        <v>Seed</v>
      </c>
      <c r="Q23" s="102">
        <f t="shared" ca="1" si="1"/>
        <v>0.18181818181818182</v>
      </c>
      <c r="R23" s="102">
        <f t="shared" ca="1" si="2"/>
        <v>0.1065941101152369</v>
      </c>
      <c r="S23" s="112">
        <f t="shared" si="24"/>
        <v>45101</v>
      </c>
      <c r="T23" s="112">
        <f t="shared" ca="1" si="3"/>
        <v>46743.5</v>
      </c>
      <c r="U23" s="1">
        <f t="shared" ca="1" si="25"/>
        <v>2000000</v>
      </c>
      <c r="V23" s="1">
        <f t="shared" ca="1" si="4"/>
        <v>0</v>
      </c>
      <c r="W23" s="34">
        <f t="shared" ca="1" si="26"/>
        <v>0</v>
      </c>
      <c r="Y23" s="2">
        <v>18</v>
      </c>
      <c r="Z23" s="6">
        <f t="shared" si="27"/>
        <v>18</v>
      </c>
      <c r="AA23" s="139">
        <f ca="1">IF($E$5="Uniform Inputs",IF($Z23&gt;$E$12,"",MIN($E$21,($I$5+'Cash Flows'!$BX$8+INDEX('Cash Flows'!$C$19:$BW$19,1,MATCH(EOMONTH(AB23,MOD(-MONTH(AB23),3)-3),'Cash Flows'!$C$4:$BW$4,0)))/$E$12)),IF(AF23&gt;0,AF23,""))</f>
        <v>2000000</v>
      </c>
      <c r="AB23" s="112">
        <f t="shared" si="28"/>
        <v>45101</v>
      </c>
      <c r="AC23" s="139">
        <f>IFERROR(IF($Z23&gt;$E$12,"",IF($E$5="Uniform Inputs",INDEX($D$45:$E$53,MATCH($AA$3,$B$45:$B$53,0),MATCH(AC$4,$D$44:$E$44,0)),IF(AH23=0,"",AH23))),"")</f>
        <v>3000000</v>
      </c>
      <c r="AD23" s="139">
        <f>IFERROR(IF($Z23&gt;$E$12,"",IF($E$5="Uniform Inputs",INDEX($D$45:$E$53,MATCH($AA$3,$B$45:$B$53,0),MATCH(AD$4,$D$44:$E$44,0)),IF(AI23=0,"",AI23))),"")</f>
        <v>11000000</v>
      </c>
      <c r="AE23" s="10">
        <f t="shared" ca="1" si="29"/>
        <v>0.18181818181818182</v>
      </c>
      <c r="AF23" s="11">
        <v>2000000</v>
      </c>
      <c r="AG23" s="168">
        <v>45101</v>
      </c>
      <c r="AH23" s="11">
        <v>3000000</v>
      </c>
      <c r="AI23" s="11">
        <v>11000000</v>
      </c>
      <c r="AJ23" s="139" t="str">
        <f>IF($E$5="Uniform Inputs",IF($Z23&gt;$E$13,"",IF($E$23="Pro-Rata",MIN(AL23*AE23,(($I$5+'Cash Flows'!$BX$8+INDEX('Cash Flows'!$C$19:$BW$19,1,MATCH(EOMONTH(AK23,MOD(-MONTH(AK23),3)-3),'Cash Flows'!$C$4:$BW$4,0)))-$AA$5)/$E$13),MIN($E$24,(($I$5+'Cash Flows'!$BX$8+INDEX('Cash Flows'!$C$19:$BW$19,1,MATCH(EOMONTH(AK23,MOD(-MONTH(AK23),3)-3),'Cash Flows'!$C$4:$BW$4,0)))-$AA$5)/$E$13))),IF(AO23=0,"",AO23))</f>
        <v/>
      </c>
      <c r="AK23" s="112">
        <f t="shared" si="6"/>
        <v>45648.5</v>
      </c>
      <c r="AL23" s="139">
        <f>IFERROR(IF($Z23&gt;$E$12,"",IF($E$5="Uniform Inputs",INDEX($D$45:$E$53,MATCH($AJ$3,$B$45:$B$53,0),MATCH(AL$4,$D$44:$E$44,0)),IF(AQ23=0,"",AQ23))),"")</f>
        <v>12000000</v>
      </c>
      <c r="AM23" s="139">
        <f>IFERROR(IF($Z23&gt;$E$12,"",IF($E$5="Uniform Inputs",INDEX($D$45:$E$53,MATCH($AJ$3,$B$45:$B$53,0),MATCH(AM$4,$D$44:$E$44,0)),IF(AR23=0,"",AR23))),"")</f>
        <v>48000000</v>
      </c>
      <c r="AN23" s="10">
        <f t="shared" ca="1" si="7"/>
        <v>0.13636363636363638</v>
      </c>
      <c r="AO23" s="11" t="s">
        <v>22</v>
      </c>
      <c r="AP23" s="168">
        <v>45648.5</v>
      </c>
      <c r="AQ23" s="11">
        <v>12000000</v>
      </c>
      <c r="AR23" s="11">
        <v>48000000</v>
      </c>
      <c r="AS23" s="139" t="str">
        <f>IF($E$5="Uniform Inputs",IF($Z23&gt;$E$14,"",IF($E$23="Pro-Rata",MIN(AU23*AN23,(($I$5+'Cash Flows'!$BX$8+INDEX('Cash Flows'!$C$19:$BW$19,1,MATCH(EOMONTH(AT23,MOD(-MONTH(AT23),3)-3),'Cash Flows'!$C$4:$BW$4,0)))-SUM($AJ$5,$AA$5))/$E$14),MIN($E$25,(($I$5+'Cash Flows'!$BX$8+INDEX('Cash Flows'!$C$19:$BW$19,1,MATCH(EOMONTH(AT23,MOD(-MONTH(AT23),3)-3),'Cash Flows'!$C$4:$BW$4,0)))-SUM($AJ$5,$AA$5))/$E$14))),IF(AX23=0,"",AX23))</f>
        <v/>
      </c>
      <c r="AT23" s="112">
        <f t="shared" si="8"/>
        <v>46196</v>
      </c>
      <c r="AU23" s="139">
        <f>IFERROR(IF($Z23&gt;$E$12,"",IF($E$5="Uniform Inputs",INDEX($D$45:$E$53,MATCH($AS$3,$B$45:$B$53,0),MATCH(AU$4,$D$44:$E$44,0)),IF(AZ23=0,"",AZ23))),"")</f>
        <v>31000000</v>
      </c>
      <c r="AV23" s="139">
        <f>IFERROR(IF($Z23&gt;$E$12,"",IF($E$5="Uniform Inputs",INDEX($D$45:$E$53,MATCH($AS$3,$B$45:$B$53,0),MATCH(AV$4,$D$44:$E$44,0)),IF(BA23=0,"",BA23))),"")</f>
        <v>142000000</v>
      </c>
      <c r="AW23" s="10">
        <f t="shared" ca="1" si="9"/>
        <v>0.1065941101152369</v>
      </c>
      <c r="AX23" s="11" t="s">
        <v>22</v>
      </c>
      <c r="AY23" s="168">
        <v>46196</v>
      </c>
      <c r="AZ23" s="11">
        <v>31000000</v>
      </c>
      <c r="BA23" s="11">
        <v>142000000</v>
      </c>
      <c r="BB23" s="139" t="str">
        <f>IF($E$5="Uniform Inputs",IF($Z23&gt;$E$15,"",IF($E$23="Pro-Rata",MIN(BD23*AW23,(($I$5+'Cash Flows'!$BX$8+INDEX('Cash Flows'!$C$19:$BW$19,1,MATCH(EOMONTH(BC23,MOD(-MONTH(BC23),3)-3),'Cash Flows'!$C$4:$BW$4,0)))-SUM($AS$5,$AJ$5,$AA$5))/$E$15),MIN($E$26,(($I$5+'Cash Flows'!$BX$8+INDEX('Cash Flows'!$C$19:$BW$19,1,MATCH(EOMONTH(BC23,MOD(-MONTH(BC23),3)-3),'Cash Flows'!$C$4:$BW$4,0)))-SUM($AS$5,$AJ$5,$AA$5))/$E$15))),IF(BG23=0,"",BG23))</f>
        <v/>
      </c>
      <c r="BC23" s="112">
        <f t="shared" si="10"/>
        <v>46743.5</v>
      </c>
      <c r="BD23" s="139">
        <f>IFERROR(IF($Z23&gt;$E$12,"",IF($E$5="Uniform Inputs",INDEX($D$45:$E$53,MATCH($BB$3,$B$45:$B$53,0),MATCH(BD$4,$D$44:$E$44,0)),IF(BI23=0,"",BI23))),"")</f>
        <v>70000000</v>
      </c>
      <c r="BE23" s="139">
        <f>IFERROR(IF($Z23&gt;$E$12,"",IF($E$5="Uniform Inputs",INDEX($D$45:$E$53,MATCH($BB$3,$B$45:$B$53,0),MATCH(BE$4,$D$44:$E$44,0)),IF(BJ23=0,"",BJ23))),"")</f>
        <v>375000000</v>
      </c>
      <c r="BF23" s="10">
        <f t="shared" ca="1" si="11"/>
        <v>8.6696542893726011E-2</v>
      </c>
      <c r="BG23" s="11" t="s">
        <v>22</v>
      </c>
      <c r="BH23" s="168">
        <v>46743.5</v>
      </c>
      <c r="BI23" s="11">
        <v>70000000</v>
      </c>
      <c r="BJ23" s="11">
        <v>375000000</v>
      </c>
      <c r="BK23" s="139" t="str">
        <f>IF($E$5="Uniform Inputs",IF($Z23&gt;$E$16,"",IF($E$23="Pro-Rata",MIN(BM23*BF23,(($I$5+'Cash Flows'!$BX$8+INDEX('Cash Flows'!$C$19:$BW$19,1,MATCH(EOMONTH(BL23,MOD(-MONTH(BL23),3)-3),'Cash Flows'!$C$4:$BW$4,0)))-SUM($BB$5,$AS$5,$AJ$5,$AA$5))/$E$16),MIN($E$27,(($I$5+'Cash Flows'!$BX$8+INDEX('Cash Flows'!$C$19:$BW$19,1,MATCH(EOMONTH(BL23,MOD(-MONTH(BL23),3)-3),'Cash Flows'!$C$4:$BW$4,0)))-SUM($BB$5,$AS$5,$AJ$5,$AA$5))/$E$16))),IF(BP23=0,"",BP23))</f>
        <v/>
      </c>
      <c r="BL23" s="112">
        <f t="shared" si="12"/>
        <v>47291</v>
      </c>
      <c r="BM23" s="139">
        <f>IFERROR(IF($Z23&gt;$E$12,"",IF($E$5="Uniform Inputs",INDEX($D$45:$E$53,MATCH($BK$3,$B$45:$B$53,0),MATCH(BM$4,$D$44:$E$44,0)),IF(BR23=0,"",BR23))),"")</f>
        <v>110000000</v>
      </c>
      <c r="BN23" s="139">
        <f>IFERROR(IF($Z23&gt;$E$12,"",IF($E$5="Uniform Inputs",INDEX($D$45:$E$53,MATCH($BK$3,$B$45:$B$53,0),MATCH(BN$4,$D$44:$E$44,0)),IF(BS23=0,"",BS23))),"")</f>
        <v>1000000000</v>
      </c>
      <c r="BO23" s="10">
        <f t="shared" ca="1" si="13"/>
        <v>7.7159923175416159E-2</v>
      </c>
      <c r="BP23" s="11" t="s">
        <v>22</v>
      </c>
      <c r="BQ23" s="168">
        <v>47291</v>
      </c>
      <c r="BR23" s="11">
        <v>110000000</v>
      </c>
      <c r="BS23" s="11">
        <v>1000000000</v>
      </c>
      <c r="BT23" s="139" t="str">
        <f t="shared" si="30"/>
        <v/>
      </c>
      <c r="BU23" s="112">
        <f t="shared" si="14"/>
        <v>47838.5</v>
      </c>
      <c r="BV23" s="139">
        <f>IFERROR(IF($Z23&gt;$E$12,"",IF($E$5="Uniform Inputs",INDEX($D$45:$E$53,MATCH($BT$3,$B$45:$B$53,0),MATCH(BV$4,$D$44:$E$44,0)),IF(CA23=0,"",CA23))),"")</f>
        <v>150000000</v>
      </c>
      <c r="BW23" s="139">
        <f>IFERROR(IF($Z23&gt;$E$12,"",IF($E$5="Uniform Inputs",INDEX($D$45:$E$53,MATCH($BT$3,$B$45:$B$53,0),MATCH(BW$4,$D$44:$E$44,0)),IF(CB23=0,"",CB23))),"")</f>
        <v>1300000000</v>
      </c>
      <c r="BX23" s="10">
        <f t="shared" ca="1" si="15"/>
        <v>6.8256855116714296E-2</v>
      </c>
      <c r="BY23" s="11" t="s">
        <v>22</v>
      </c>
      <c r="BZ23" s="168">
        <v>47838.5</v>
      </c>
      <c r="CA23" s="11">
        <v>150000000</v>
      </c>
      <c r="CB23" s="11">
        <v>1300000000</v>
      </c>
      <c r="CC23" s="139" t="str">
        <f t="shared" si="31"/>
        <v/>
      </c>
      <c r="CD23" s="112">
        <f t="shared" si="16"/>
        <v>48386</v>
      </c>
      <c r="CE23" s="139">
        <f>IFERROR(IF($Z23&gt;$E$12,"",IF($E$5="Uniform Inputs",INDEX($D$45:$E$53,MATCH($CC$3,$B$45:$B$53,0),MATCH(CE$4,$D$44:$E$44,0)),IF(CJ23=0,"",CJ23))),"")</f>
        <v>200000000</v>
      </c>
      <c r="CF23" s="139">
        <f>IFERROR(IF($Z23&gt;$E$12,"",IF($E$5="Uniform Inputs",INDEX($D$45:$E$53,MATCH($CC$3,$B$45:$B$53,0),MATCH(CF$4,$D$44:$E$44,0)),IF(CK23=0,"",CK23))),"")</f>
        <v>2300000000</v>
      </c>
      <c r="CG23" s="10">
        <f t="shared" ca="1" si="17"/>
        <v>6.2321476410913054E-2</v>
      </c>
      <c r="CH23" s="11" t="s">
        <v>22</v>
      </c>
      <c r="CI23" s="168">
        <v>48386</v>
      </c>
      <c r="CJ23" s="11">
        <v>200000000</v>
      </c>
      <c r="CK23" s="11">
        <v>2300000000</v>
      </c>
      <c r="CL23" s="139" t="str">
        <f t="shared" si="32"/>
        <v/>
      </c>
      <c r="CM23" s="112">
        <f t="shared" si="18"/>
        <v>48933.5</v>
      </c>
      <c r="CN23" s="139">
        <f>IFERROR(IF($Z23&gt;$E$12,"",IF($E$5="Uniform Inputs",INDEX($D$45:$E$53,MATCH($CL$3,$B$45:$B$53,0),MATCH(CN$4,$D$44:$E$44,0)),IF(CS23=0,"",CS23))),"")</f>
        <v>275000000</v>
      </c>
      <c r="CO23" s="139">
        <f>IFERROR(IF($Z23&gt;$E$12,"",IF($E$5="Uniform Inputs",INDEX($D$45:$E$53,MATCH($CL$3,$B$45:$B$53,0),MATCH(CO$4,$D$44:$E$44,0)),IF(CT23=0,"",CT23))),"")</f>
        <v>3000000000</v>
      </c>
      <c r="CP23" s="10">
        <f t="shared" ca="1" si="19"/>
        <v>5.6608674406579358E-2</v>
      </c>
      <c r="CQ23" s="11" t="s">
        <v>22</v>
      </c>
      <c r="CR23" s="168">
        <v>48933.5</v>
      </c>
      <c r="CS23" s="11">
        <v>275000000</v>
      </c>
      <c r="CT23" s="11">
        <v>3000000000</v>
      </c>
      <c r="CU23" s="139" t="str">
        <f t="shared" si="33"/>
        <v/>
      </c>
      <c r="CV23" s="112">
        <f t="shared" si="20"/>
        <v>49481</v>
      </c>
      <c r="CW23" s="139" t="str">
        <f>IFERROR(IF($Z23&gt;$E$12,"",IF($E$5="Uniform Inputs",INDEX($D$45:$E$53,MATCH($CU$3,$B$45:$B$53,0),MATCH(CW$4,$D$44:$E$44,0)),IF(DB23=0,"",DB23))),"")</f>
        <v/>
      </c>
      <c r="CX23" s="139" t="str">
        <f>IFERROR(IF($Z23&gt;$E$12,"",IF($E$5="Uniform Inputs",INDEX($D$45:$E$53,MATCH($CU$3,$B$45:$B$53,0),MATCH(CX$4,$D$44:$E$44,0)),IF(DC23=0,"",DC23))),"")</f>
        <v/>
      </c>
      <c r="CY23" s="10" t="str">
        <f t="shared" ca="1" si="21"/>
        <v/>
      </c>
      <c r="CZ23" s="11" t="s">
        <v>22</v>
      </c>
      <c r="DA23" s="168">
        <v>49481</v>
      </c>
      <c r="DB23" s="11" t="s">
        <v>22</v>
      </c>
      <c r="DC23" s="11" t="s">
        <v>22</v>
      </c>
    </row>
    <row r="24" spans="2:107" x14ac:dyDescent="0.25">
      <c r="B24" s="43" t="str" cm="1">
        <f t="array" ref="B24">"Fixed Follow-On Check Size ("&amp;INDEX($B$45:$B$53,MATCH($E$22,$B$45:$B$53,0)+1)&amp;")"</f>
        <v>Fixed Follow-On Check Size (Series A)</v>
      </c>
      <c r="D24" s="3"/>
      <c r="E24" s="65">
        <v>0</v>
      </c>
      <c r="G24" s="86" t="s">
        <v>50</v>
      </c>
      <c r="H24" s="86"/>
      <c r="I24" s="37">
        <f ca="1">SUMIF(W6:W105,"&lt;1",U6:U105)/U5</f>
        <v>0.28872180451127821</v>
      </c>
      <c r="K24" s="6">
        <f t="shared" si="22"/>
        <v>19</v>
      </c>
      <c r="L24" s="32">
        <v>0</v>
      </c>
      <c r="M24" s="33" t="s">
        <v>7</v>
      </c>
      <c r="O24" s="6">
        <f t="shared" si="23"/>
        <v>19</v>
      </c>
      <c r="P24" s="35" t="str">
        <f t="shared" ca="1" si="0"/>
        <v>Seed</v>
      </c>
      <c r="Q24" s="102">
        <f t="shared" ca="1" si="1"/>
        <v>0.18181818181818182</v>
      </c>
      <c r="R24" s="102">
        <f t="shared" ca="1" si="2"/>
        <v>0.13636363636363638</v>
      </c>
      <c r="S24" s="112">
        <f t="shared" si="24"/>
        <v>45131</v>
      </c>
      <c r="T24" s="112">
        <f t="shared" ca="1" si="3"/>
        <v>46226</v>
      </c>
      <c r="U24" s="1">
        <f t="shared" ca="1" si="25"/>
        <v>2000000</v>
      </c>
      <c r="V24" s="1">
        <f t="shared" ca="1" si="4"/>
        <v>0</v>
      </c>
      <c r="W24" s="34">
        <f t="shared" ca="1" si="26"/>
        <v>0</v>
      </c>
      <c r="Y24" s="2">
        <v>19</v>
      </c>
      <c r="Z24" s="6">
        <f t="shared" si="27"/>
        <v>19</v>
      </c>
      <c r="AA24" s="139">
        <f ca="1">IF($E$5="Uniform Inputs",IF($Z24&gt;$E$12,"",MIN($E$21,($I$5+'Cash Flows'!$BX$8+INDEX('Cash Flows'!$C$19:$BW$19,1,MATCH(EOMONTH(AB24,MOD(-MONTH(AB24),3)-3),'Cash Flows'!$C$4:$BW$4,0)))/$E$12)),IF(AF24&gt;0,AF24,""))</f>
        <v>2000000</v>
      </c>
      <c r="AB24" s="112">
        <f t="shared" si="28"/>
        <v>45131</v>
      </c>
      <c r="AC24" s="139">
        <f>IFERROR(IF($Z24&gt;$E$12,"",IF($E$5="Uniform Inputs",INDEX($D$45:$E$53,MATCH($AA$3,$B$45:$B$53,0),MATCH(AC$4,$D$44:$E$44,0)),IF(AH24=0,"",AH24))),"")</f>
        <v>3000000</v>
      </c>
      <c r="AD24" s="139">
        <f>IFERROR(IF($Z24&gt;$E$12,"",IF($E$5="Uniform Inputs",INDEX($D$45:$E$53,MATCH($AA$3,$B$45:$B$53,0),MATCH(AD$4,$D$44:$E$44,0)),IF(AI24=0,"",AI24))),"")</f>
        <v>11000000</v>
      </c>
      <c r="AE24" s="10">
        <f t="shared" ca="1" si="29"/>
        <v>0.18181818181818182</v>
      </c>
      <c r="AF24" s="11">
        <v>2000000</v>
      </c>
      <c r="AG24" s="168">
        <v>45131</v>
      </c>
      <c r="AH24" s="11">
        <v>3000000</v>
      </c>
      <c r="AI24" s="11">
        <v>11000000</v>
      </c>
      <c r="AJ24" s="139" t="str">
        <f>IF($E$5="Uniform Inputs",IF($Z24&gt;$E$13,"",IF($E$23="Pro-Rata",MIN(AL24*AE24,(($I$5+'Cash Flows'!$BX$8+INDEX('Cash Flows'!$C$19:$BW$19,1,MATCH(EOMONTH(AK24,MOD(-MONTH(AK24),3)-3),'Cash Flows'!$C$4:$BW$4,0)))-$AA$5)/$E$13),MIN($E$24,(($I$5+'Cash Flows'!$BX$8+INDEX('Cash Flows'!$C$19:$BW$19,1,MATCH(EOMONTH(AK24,MOD(-MONTH(AK24),3)-3),'Cash Flows'!$C$4:$BW$4,0)))-$AA$5)/$E$13))),IF(AO24=0,"",AO24))</f>
        <v/>
      </c>
      <c r="AK24" s="112">
        <f t="shared" si="6"/>
        <v>45678.5</v>
      </c>
      <c r="AL24" s="139">
        <f>IFERROR(IF($Z24&gt;$E$12,"",IF($E$5="Uniform Inputs",INDEX($D$45:$E$53,MATCH($AJ$3,$B$45:$B$53,0),MATCH(AL$4,$D$44:$E$44,0)),IF(AQ24=0,"",AQ24))),"")</f>
        <v>12000000</v>
      </c>
      <c r="AM24" s="139">
        <f>IFERROR(IF($Z24&gt;$E$12,"",IF($E$5="Uniform Inputs",INDEX($D$45:$E$53,MATCH($AJ$3,$B$45:$B$53,0),MATCH(AM$4,$D$44:$E$44,0)),IF(AR24=0,"",AR24))),"")</f>
        <v>48000000</v>
      </c>
      <c r="AN24" s="10">
        <f t="shared" ca="1" si="7"/>
        <v>0.13636363636363638</v>
      </c>
      <c r="AO24" s="11" t="s">
        <v>22</v>
      </c>
      <c r="AP24" s="168">
        <v>45678.5</v>
      </c>
      <c r="AQ24" s="11">
        <v>12000000</v>
      </c>
      <c r="AR24" s="11">
        <v>48000000</v>
      </c>
      <c r="AS24" s="139" t="str">
        <f>IF($E$5="Uniform Inputs",IF($Z24&gt;$E$14,"",IF($E$23="Pro-Rata",MIN(AU24*AN24,(($I$5+'Cash Flows'!$BX$8+INDEX('Cash Flows'!$C$19:$BW$19,1,MATCH(EOMONTH(AT24,MOD(-MONTH(AT24),3)-3),'Cash Flows'!$C$4:$BW$4,0)))-SUM($AJ$5,$AA$5))/$E$14),MIN($E$25,(($I$5+'Cash Flows'!$BX$8+INDEX('Cash Flows'!$C$19:$BW$19,1,MATCH(EOMONTH(AT24,MOD(-MONTH(AT24),3)-3),'Cash Flows'!$C$4:$BW$4,0)))-SUM($AJ$5,$AA$5))/$E$14))),IF(AX24=0,"",AX24))</f>
        <v/>
      </c>
      <c r="AT24" s="112">
        <f t="shared" si="8"/>
        <v>46226</v>
      </c>
      <c r="AU24" s="139">
        <f>IFERROR(IF($Z24&gt;$E$12,"",IF($E$5="Uniform Inputs",INDEX($D$45:$E$53,MATCH($AS$3,$B$45:$B$53,0),MATCH(AU$4,$D$44:$E$44,0)),IF(AZ24=0,"",AZ24))),"")</f>
        <v>31000000</v>
      </c>
      <c r="AV24" s="139">
        <f>IFERROR(IF($Z24&gt;$E$12,"",IF($E$5="Uniform Inputs",INDEX($D$45:$E$53,MATCH($AS$3,$B$45:$B$53,0),MATCH(AV$4,$D$44:$E$44,0)),IF(BA24=0,"",BA24))),"")</f>
        <v>142000000</v>
      </c>
      <c r="AW24" s="10">
        <f t="shared" ca="1" si="9"/>
        <v>0.1065941101152369</v>
      </c>
      <c r="AX24" s="11" t="s">
        <v>22</v>
      </c>
      <c r="AY24" s="168">
        <v>46226</v>
      </c>
      <c r="AZ24" s="11">
        <v>31000000</v>
      </c>
      <c r="BA24" s="11">
        <v>142000000</v>
      </c>
      <c r="BB24" s="139" t="str">
        <f>IF($E$5="Uniform Inputs",IF($Z24&gt;$E$15,"",IF($E$23="Pro-Rata",MIN(BD24*AW24,(($I$5+'Cash Flows'!$BX$8+INDEX('Cash Flows'!$C$19:$BW$19,1,MATCH(EOMONTH(BC24,MOD(-MONTH(BC24),3)-3),'Cash Flows'!$C$4:$BW$4,0)))-SUM($AS$5,$AJ$5,$AA$5))/$E$15),MIN($E$26,(($I$5+'Cash Flows'!$BX$8+INDEX('Cash Flows'!$C$19:$BW$19,1,MATCH(EOMONTH(BC24,MOD(-MONTH(BC24),3)-3),'Cash Flows'!$C$4:$BW$4,0)))-SUM($AS$5,$AJ$5,$AA$5))/$E$15))),IF(BG24=0,"",BG24))</f>
        <v/>
      </c>
      <c r="BC24" s="112">
        <f t="shared" si="10"/>
        <v>46773.5</v>
      </c>
      <c r="BD24" s="139">
        <f>IFERROR(IF($Z24&gt;$E$12,"",IF($E$5="Uniform Inputs",INDEX($D$45:$E$53,MATCH($BB$3,$B$45:$B$53,0),MATCH(BD$4,$D$44:$E$44,0)),IF(BI24=0,"",BI24))),"")</f>
        <v>70000000</v>
      </c>
      <c r="BE24" s="139">
        <f>IFERROR(IF($Z24&gt;$E$12,"",IF($E$5="Uniform Inputs",INDEX($D$45:$E$53,MATCH($BB$3,$B$45:$B$53,0),MATCH(BE$4,$D$44:$E$44,0)),IF(BJ24=0,"",BJ24))),"")</f>
        <v>375000000</v>
      </c>
      <c r="BF24" s="10">
        <f t="shared" ca="1" si="11"/>
        <v>8.6696542893726011E-2</v>
      </c>
      <c r="BG24" s="11" t="s">
        <v>22</v>
      </c>
      <c r="BH24" s="168">
        <v>46773.5</v>
      </c>
      <c r="BI24" s="11">
        <v>70000000</v>
      </c>
      <c r="BJ24" s="11">
        <v>375000000</v>
      </c>
      <c r="BK24" s="139" t="str">
        <f>IF($E$5="Uniform Inputs",IF($Z24&gt;$E$16,"",IF($E$23="Pro-Rata",MIN(BM24*BF24,(($I$5+'Cash Flows'!$BX$8+INDEX('Cash Flows'!$C$19:$BW$19,1,MATCH(EOMONTH(BL24,MOD(-MONTH(BL24),3)-3),'Cash Flows'!$C$4:$BW$4,0)))-SUM($BB$5,$AS$5,$AJ$5,$AA$5))/$E$16),MIN($E$27,(($I$5+'Cash Flows'!$BX$8+INDEX('Cash Flows'!$C$19:$BW$19,1,MATCH(EOMONTH(BL24,MOD(-MONTH(BL24),3)-3),'Cash Flows'!$C$4:$BW$4,0)))-SUM($BB$5,$AS$5,$AJ$5,$AA$5))/$E$16))),IF(BP24=0,"",BP24))</f>
        <v/>
      </c>
      <c r="BL24" s="112">
        <f t="shared" si="12"/>
        <v>47321</v>
      </c>
      <c r="BM24" s="139">
        <f>IFERROR(IF($Z24&gt;$E$12,"",IF($E$5="Uniform Inputs",INDEX($D$45:$E$53,MATCH($BK$3,$B$45:$B$53,0),MATCH(BM$4,$D$44:$E$44,0)),IF(BR24=0,"",BR24))),"")</f>
        <v>110000000</v>
      </c>
      <c r="BN24" s="139">
        <f>IFERROR(IF($Z24&gt;$E$12,"",IF($E$5="Uniform Inputs",INDEX($D$45:$E$53,MATCH($BK$3,$B$45:$B$53,0),MATCH(BN$4,$D$44:$E$44,0)),IF(BS24=0,"",BS24))),"")</f>
        <v>1000000000</v>
      </c>
      <c r="BO24" s="10">
        <f t="shared" ca="1" si="13"/>
        <v>7.7159923175416159E-2</v>
      </c>
      <c r="BP24" s="11" t="s">
        <v>22</v>
      </c>
      <c r="BQ24" s="168">
        <v>47321</v>
      </c>
      <c r="BR24" s="11">
        <v>110000000</v>
      </c>
      <c r="BS24" s="11">
        <v>1000000000</v>
      </c>
      <c r="BT24" s="139" t="str">
        <f t="shared" si="30"/>
        <v/>
      </c>
      <c r="BU24" s="112">
        <f t="shared" si="14"/>
        <v>47868.5</v>
      </c>
      <c r="BV24" s="139">
        <f>IFERROR(IF($Z24&gt;$E$12,"",IF($E$5="Uniform Inputs",INDEX($D$45:$E$53,MATCH($BT$3,$B$45:$B$53,0),MATCH(BV$4,$D$44:$E$44,0)),IF(CA24=0,"",CA24))),"")</f>
        <v>150000000</v>
      </c>
      <c r="BW24" s="139">
        <f>IFERROR(IF($Z24&gt;$E$12,"",IF($E$5="Uniform Inputs",INDEX($D$45:$E$53,MATCH($BT$3,$B$45:$B$53,0),MATCH(BW$4,$D$44:$E$44,0)),IF(CB24=0,"",CB24))),"")</f>
        <v>1300000000</v>
      </c>
      <c r="BX24" s="10">
        <f t="shared" ca="1" si="15"/>
        <v>6.8256855116714296E-2</v>
      </c>
      <c r="BY24" s="11" t="s">
        <v>22</v>
      </c>
      <c r="BZ24" s="168">
        <v>47868.5</v>
      </c>
      <c r="CA24" s="11">
        <v>150000000</v>
      </c>
      <c r="CB24" s="11">
        <v>1300000000</v>
      </c>
      <c r="CC24" s="139" t="str">
        <f t="shared" si="31"/>
        <v/>
      </c>
      <c r="CD24" s="112">
        <f t="shared" si="16"/>
        <v>48416</v>
      </c>
      <c r="CE24" s="139">
        <f>IFERROR(IF($Z24&gt;$E$12,"",IF($E$5="Uniform Inputs",INDEX($D$45:$E$53,MATCH($CC$3,$B$45:$B$53,0),MATCH(CE$4,$D$44:$E$44,0)),IF(CJ24=0,"",CJ24))),"")</f>
        <v>200000000</v>
      </c>
      <c r="CF24" s="139">
        <f>IFERROR(IF($Z24&gt;$E$12,"",IF($E$5="Uniform Inputs",INDEX($D$45:$E$53,MATCH($CC$3,$B$45:$B$53,0),MATCH(CF$4,$D$44:$E$44,0)),IF(CK24=0,"",CK24))),"")</f>
        <v>2300000000</v>
      </c>
      <c r="CG24" s="10">
        <f t="shared" ca="1" si="17"/>
        <v>6.2321476410913054E-2</v>
      </c>
      <c r="CH24" s="11" t="s">
        <v>22</v>
      </c>
      <c r="CI24" s="168">
        <v>48416</v>
      </c>
      <c r="CJ24" s="11">
        <v>200000000</v>
      </c>
      <c r="CK24" s="11">
        <v>2300000000</v>
      </c>
      <c r="CL24" s="139" t="str">
        <f t="shared" si="32"/>
        <v/>
      </c>
      <c r="CM24" s="112">
        <f t="shared" si="18"/>
        <v>48963.5</v>
      </c>
      <c r="CN24" s="139">
        <f>IFERROR(IF($Z24&gt;$E$12,"",IF($E$5="Uniform Inputs",INDEX($D$45:$E$53,MATCH($CL$3,$B$45:$B$53,0),MATCH(CN$4,$D$44:$E$44,0)),IF(CS24=0,"",CS24))),"")</f>
        <v>275000000</v>
      </c>
      <c r="CO24" s="139">
        <f>IFERROR(IF($Z24&gt;$E$12,"",IF($E$5="Uniform Inputs",INDEX($D$45:$E$53,MATCH($CL$3,$B$45:$B$53,0),MATCH(CO$4,$D$44:$E$44,0)),IF(CT24=0,"",CT24))),"")</f>
        <v>3000000000</v>
      </c>
      <c r="CP24" s="10">
        <f t="shared" ca="1" si="19"/>
        <v>5.6608674406579358E-2</v>
      </c>
      <c r="CQ24" s="11" t="s">
        <v>22</v>
      </c>
      <c r="CR24" s="168">
        <v>48963.5</v>
      </c>
      <c r="CS24" s="11">
        <v>275000000</v>
      </c>
      <c r="CT24" s="11">
        <v>3000000000</v>
      </c>
      <c r="CU24" s="139" t="str">
        <f t="shared" si="33"/>
        <v/>
      </c>
      <c r="CV24" s="112">
        <f t="shared" si="20"/>
        <v>49511</v>
      </c>
      <c r="CW24" s="139" t="str">
        <f>IFERROR(IF($Z24&gt;$E$12,"",IF($E$5="Uniform Inputs",INDEX($D$45:$E$53,MATCH($CU$3,$B$45:$B$53,0),MATCH(CW$4,$D$44:$E$44,0)),IF(DB24=0,"",DB24))),"")</f>
        <v/>
      </c>
      <c r="CX24" s="139" t="str">
        <f>IFERROR(IF($Z24&gt;$E$12,"",IF($E$5="Uniform Inputs",INDEX($D$45:$E$53,MATCH($CU$3,$B$45:$B$53,0),MATCH(CX$4,$D$44:$E$44,0)),IF(DC24=0,"",DC24))),"")</f>
        <v/>
      </c>
      <c r="CY24" s="10" t="str">
        <f t="shared" ca="1" si="21"/>
        <v/>
      </c>
      <c r="CZ24" s="11" t="s">
        <v>22</v>
      </c>
      <c r="DA24" s="168">
        <v>49511</v>
      </c>
      <c r="DB24" s="11" t="s">
        <v>22</v>
      </c>
      <c r="DC24" s="11" t="s">
        <v>22</v>
      </c>
    </row>
    <row r="25" spans="2:107" x14ac:dyDescent="0.25">
      <c r="B25" s="142" t="str" cm="1">
        <f t="array" ref="B25">"Fixed Follow-On Check Size ("&amp;INDEX($B$45:$B$53,MATCH($E$22,$B$45:$B$53,0)+2)&amp;")"</f>
        <v>Fixed Follow-On Check Size (Series B)</v>
      </c>
      <c r="D25" s="3"/>
      <c r="E25" s="65">
        <v>0</v>
      </c>
      <c r="K25" s="6">
        <f t="shared" si="22"/>
        <v>20</v>
      </c>
      <c r="L25" s="32">
        <v>0</v>
      </c>
      <c r="M25" s="33" t="s">
        <v>7</v>
      </c>
      <c r="O25" s="6">
        <f t="shared" si="23"/>
        <v>20</v>
      </c>
      <c r="P25" s="35" t="str">
        <f t="shared" ca="1" si="0"/>
        <v>Seed</v>
      </c>
      <c r="Q25" s="102">
        <f t="shared" ca="1" si="1"/>
        <v>0.18181818181818182</v>
      </c>
      <c r="R25" s="102">
        <f t="shared" ca="1" si="2"/>
        <v>0.13636363636363638</v>
      </c>
      <c r="S25" s="112">
        <f t="shared" si="24"/>
        <v>45161</v>
      </c>
      <c r="T25" s="112">
        <f t="shared" ca="1" si="3"/>
        <v>46256</v>
      </c>
      <c r="U25" s="1">
        <f t="shared" ca="1" si="25"/>
        <v>2000000</v>
      </c>
      <c r="V25" s="1">
        <f t="shared" ca="1" si="4"/>
        <v>0</v>
      </c>
      <c r="W25" s="34">
        <f t="shared" ca="1" si="26"/>
        <v>0</v>
      </c>
      <c r="Y25" s="2">
        <v>20</v>
      </c>
      <c r="Z25" s="6">
        <f t="shared" si="27"/>
        <v>20</v>
      </c>
      <c r="AA25" s="139">
        <f ca="1">IF($E$5="Uniform Inputs",IF($Z25&gt;$E$12,"",MIN($E$21,($I$5+'Cash Flows'!$BX$8+INDEX('Cash Flows'!$C$19:$BW$19,1,MATCH(EOMONTH(AB25,MOD(-MONTH(AB25),3)-3),'Cash Flows'!$C$4:$BW$4,0)))/$E$12)),IF(AF25&gt;0,AF25,""))</f>
        <v>2000000</v>
      </c>
      <c r="AB25" s="112">
        <f t="shared" si="28"/>
        <v>45161</v>
      </c>
      <c r="AC25" s="139">
        <f>IFERROR(IF($Z25&gt;$E$12,"",IF($E$5="Uniform Inputs",INDEX($D$45:$E$53,MATCH($AA$3,$B$45:$B$53,0),MATCH(AC$4,$D$44:$E$44,0)),IF(AH25=0,"",AH25))),"")</f>
        <v>3000000</v>
      </c>
      <c r="AD25" s="139">
        <f>IFERROR(IF($Z25&gt;$E$12,"",IF($E$5="Uniform Inputs",INDEX($D$45:$E$53,MATCH($AA$3,$B$45:$B$53,0),MATCH(AD$4,$D$44:$E$44,0)),IF(AI25=0,"",AI25))),"")</f>
        <v>11000000</v>
      </c>
      <c r="AE25" s="10">
        <f t="shared" ca="1" si="29"/>
        <v>0.18181818181818182</v>
      </c>
      <c r="AF25" s="11">
        <v>2000000</v>
      </c>
      <c r="AG25" s="168">
        <v>45161</v>
      </c>
      <c r="AH25" s="11">
        <v>3000000</v>
      </c>
      <c r="AI25" s="11">
        <v>11000000</v>
      </c>
      <c r="AJ25" s="139" t="str">
        <f>IF($E$5="Uniform Inputs",IF($Z25&gt;$E$13,"",IF($E$23="Pro-Rata",MIN(AL25*AE25,(($I$5+'Cash Flows'!$BX$8+INDEX('Cash Flows'!$C$19:$BW$19,1,MATCH(EOMONTH(AK25,MOD(-MONTH(AK25),3)-3),'Cash Flows'!$C$4:$BW$4,0)))-$AA$5)/$E$13),MIN($E$24,(($I$5+'Cash Flows'!$BX$8+INDEX('Cash Flows'!$C$19:$BW$19,1,MATCH(EOMONTH(AK25,MOD(-MONTH(AK25),3)-3),'Cash Flows'!$C$4:$BW$4,0)))-$AA$5)/$E$13))),IF(AO25=0,"",AO25))</f>
        <v/>
      </c>
      <c r="AK25" s="112">
        <f t="shared" si="6"/>
        <v>45708.5</v>
      </c>
      <c r="AL25" s="139">
        <f>IFERROR(IF($Z25&gt;$E$12,"",IF($E$5="Uniform Inputs",INDEX($D$45:$E$53,MATCH($AJ$3,$B$45:$B$53,0),MATCH(AL$4,$D$44:$E$44,0)),IF(AQ25=0,"",AQ25))),"")</f>
        <v>12000000</v>
      </c>
      <c r="AM25" s="139">
        <f>IFERROR(IF($Z25&gt;$E$12,"",IF($E$5="Uniform Inputs",INDEX($D$45:$E$53,MATCH($AJ$3,$B$45:$B$53,0),MATCH(AM$4,$D$44:$E$44,0)),IF(AR25=0,"",AR25))),"")</f>
        <v>48000000</v>
      </c>
      <c r="AN25" s="10">
        <f t="shared" ca="1" si="7"/>
        <v>0.13636363636363638</v>
      </c>
      <c r="AO25" s="11" t="s">
        <v>22</v>
      </c>
      <c r="AP25" s="168">
        <v>45708.5</v>
      </c>
      <c r="AQ25" s="11">
        <v>12000000</v>
      </c>
      <c r="AR25" s="11">
        <v>48000000</v>
      </c>
      <c r="AS25" s="139" t="str">
        <f>IF($E$5="Uniform Inputs",IF($Z25&gt;$E$14,"",IF($E$23="Pro-Rata",MIN(AU25*AN25,(($I$5+'Cash Flows'!$BX$8+INDEX('Cash Flows'!$C$19:$BW$19,1,MATCH(EOMONTH(AT25,MOD(-MONTH(AT25),3)-3),'Cash Flows'!$C$4:$BW$4,0)))-SUM($AJ$5,$AA$5))/$E$14),MIN($E$25,(($I$5+'Cash Flows'!$BX$8+INDEX('Cash Flows'!$C$19:$BW$19,1,MATCH(EOMONTH(AT25,MOD(-MONTH(AT25),3)-3),'Cash Flows'!$C$4:$BW$4,0)))-SUM($AJ$5,$AA$5))/$E$14))),IF(AX25=0,"",AX25))</f>
        <v/>
      </c>
      <c r="AT25" s="112">
        <f t="shared" si="8"/>
        <v>46256</v>
      </c>
      <c r="AU25" s="139">
        <f>IFERROR(IF($Z25&gt;$E$12,"",IF($E$5="Uniform Inputs",INDEX($D$45:$E$53,MATCH($AS$3,$B$45:$B$53,0),MATCH(AU$4,$D$44:$E$44,0)),IF(AZ25=0,"",AZ25))),"")</f>
        <v>31000000</v>
      </c>
      <c r="AV25" s="139">
        <f>IFERROR(IF($Z25&gt;$E$12,"",IF($E$5="Uniform Inputs",INDEX($D$45:$E$53,MATCH($AS$3,$B$45:$B$53,0),MATCH(AV$4,$D$44:$E$44,0)),IF(BA25=0,"",BA25))),"")</f>
        <v>142000000</v>
      </c>
      <c r="AW25" s="10">
        <f t="shared" ca="1" si="9"/>
        <v>0.1065941101152369</v>
      </c>
      <c r="AX25" s="11" t="s">
        <v>22</v>
      </c>
      <c r="AY25" s="168">
        <v>46256</v>
      </c>
      <c r="AZ25" s="11">
        <v>31000000</v>
      </c>
      <c r="BA25" s="11">
        <v>142000000</v>
      </c>
      <c r="BB25" s="139" t="str">
        <f>IF($E$5="Uniform Inputs",IF($Z25&gt;$E$15,"",IF($E$23="Pro-Rata",MIN(BD25*AW25,(($I$5+'Cash Flows'!$BX$8+INDEX('Cash Flows'!$C$19:$BW$19,1,MATCH(EOMONTH(BC25,MOD(-MONTH(BC25),3)-3),'Cash Flows'!$C$4:$BW$4,0)))-SUM($AS$5,$AJ$5,$AA$5))/$E$15),MIN($E$26,(($I$5+'Cash Flows'!$BX$8+INDEX('Cash Flows'!$C$19:$BW$19,1,MATCH(EOMONTH(BC25,MOD(-MONTH(BC25),3)-3),'Cash Flows'!$C$4:$BW$4,0)))-SUM($AS$5,$AJ$5,$AA$5))/$E$15))),IF(BG25=0,"",BG25))</f>
        <v/>
      </c>
      <c r="BC25" s="112">
        <f t="shared" si="10"/>
        <v>46803.5</v>
      </c>
      <c r="BD25" s="139">
        <f>IFERROR(IF($Z25&gt;$E$12,"",IF($E$5="Uniform Inputs",INDEX($D$45:$E$53,MATCH($BB$3,$B$45:$B$53,0),MATCH(BD$4,$D$44:$E$44,0)),IF(BI25=0,"",BI25))),"")</f>
        <v>70000000</v>
      </c>
      <c r="BE25" s="139">
        <f>IFERROR(IF($Z25&gt;$E$12,"",IF($E$5="Uniform Inputs",INDEX($D$45:$E$53,MATCH($BB$3,$B$45:$B$53,0),MATCH(BE$4,$D$44:$E$44,0)),IF(BJ25=0,"",BJ25))),"")</f>
        <v>375000000</v>
      </c>
      <c r="BF25" s="10">
        <f t="shared" ca="1" si="11"/>
        <v>8.6696542893726011E-2</v>
      </c>
      <c r="BG25" s="11" t="s">
        <v>22</v>
      </c>
      <c r="BH25" s="168">
        <v>46803.5</v>
      </c>
      <c r="BI25" s="11">
        <v>70000000</v>
      </c>
      <c r="BJ25" s="11">
        <v>375000000</v>
      </c>
      <c r="BK25" s="139" t="str">
        <f>IF($E$5="Uniform Inputs",IF($Z25&gt;$E$16,"",IF($E$23="Pro-Rata",MIN(BM25*BF25,(($I$5+'Cash Flows'!$BX$8+INDEX('Cash Flows'!$C$19:$BW$19,1,MATCH(EOMONTH(BL25,MOD(-MONTH(BL25),3)-3),'Cash Flows'!$C$4:$BW$4,0)))-SUM($BB$5,$AS$5,$AJ$5,$AA$5))/$E$16),MIN($E$27,(($I$5+'Cash Flows'!$BX$8+INDEX('Cash Flows'!$C$19:$BW$19,1,MATCH(EOMONTH(BL25,MOD(-MONTH(BL25),3)-3),'Cash Flows'!$C$4:$BW$4,0)))-SUM($BB$5,$AS$5,$AJ$5,$AA$5))/$E$16))),IF(BP25=0,"",BP25))</f>
        <v/>
      </c>
      <c r="BL25" s="112">
        <f t="shared" si="12"/>
        <v>47351</v>
      </c>
      <c r="BM25" s="139">
        <f>IFERROR(IF($Z25&gt;$E$12,"",IF($E$5="Uniform Inputs",INDEX($D$45:$E$53,MATCH($BK$3,$B$45:$B$53,0),MATCH(BM$4,$D$44:$E$44,0)),IF(BR25=0,"",BR25))),"")</f>
        <v>110000000</v>
      </c>
      <c r="BN25" s="139">
        <f>IFERROR(IF($Z25&gt;$E$12,"",IF($E$5="Uniform Inputs",INDEX($D$45:$E$53,MATCH($BK$3,$B$45:$B$53,0),MATCH(BN$4,$D$44:$E$44,0)),IF(BS25=0,"",BS25))),"")</f>
        <v>1000000000</v>
      </c>
      <c r="BO25" s="10">
        <f t="shared" ca="1" si="13"/>
        <v>7.7159923175416159E-2</v>
      </c>
      <c r="BP25" s="11" t="s">
        <v>22</v>
      </c>
      <c r="BQ25" s="168">
        <v>47351</v>
      </c>
      <c r="BR25" s="11">
        <v>110000000</v>
      </c>
      <c r="BS25" s="11">
        <v>1000000000</v>
      </c>
      <c r="BT25" s="139" t="str">
        <f t="shared" si="30"/>
        <v/>
      </c>
      <c r="BU25" s="112">
        <f t="shared" si="14"/>
        <v>47898.5</v>
      </c>
      <c r="BV25" s="139">
        <f>IFERROR(IF($Z25&gt;$E$12,"",IF($E$5="Uniform Inputs",INDEX($D$45:$E$53,MATCH($BT$3,$B$45:$B$53,0),MATCH(BV$4,$D$44:$E$44,0)),IF(CA25=0,"",CA25))),"")</f>
        <v>150000000</v>
      </c>
      <c r="BW25" s="139">
        <f>IFERROR(IF($Z25&gt;$E$12,"",IF($E$5="Uniform Inputs",INDEX($D$45:$E$53,MATCH($BT$3,$B$45:$B$53,0),MATCH(BW$4,$D$44:$E$44,0)),IF(CB25=0,"",CB25))),"")</f>
        <v>1300000000</v>
      </c>
      <c r="BX25" s="10">
        <f t="shared" ca="1" si="15"/>
        <v>6.8256855116714296E-2</v>
      </c>
      <c r="BY25" s="11" t="s">
        <v>22</v>
      </c>
      <c r="BZ25" s="168">
        <v>47898.5</v>
      </c>
      <c r="CA25" s="11">
        <v>150000000</v>
      </c>
      <c r="CB25" s="11">
        <v>1300000000</v>
      </c>
      <c r="CC25" s="139" t="str">
        <f t="shared" si="31"/>
        <v/>
      </c>
      <c r="CD25" s="112">
        <f t="shared" si="16"/>
        <v>48446</v>
      </c>
      <c r="CE25" s="139">
        <f>IFERROR(IF($Z25&gt;$E$12,"",IF($E$5="Uniform Inputs",INDEX($D$45:$E$53,MATCH($CC$3,$B$45:$B$53,0),MATCH(CE$4,$D$44:$E$44,0)),IF(CJ25=0,"",CJ25))),"")</f>
        <v>200000000</v>
      </c>
      <c r="CF25" s="139">
        <f>IFERROR(IF($Z25&gt;$E$12,"",IF($E$5="Uniform Inputs",INDEX($D$45:$E$53,MATCH($CC$3,$B$45:$B$53,0),MATCH(CF$4,$D$44:$E$44,0)),IF(CK25=0,"",CK25))),"")</f>
        <v>2300000000</v>
      </c>
      <c r="CG25" s="10">
        <f t="shared" ca="1" si="17"/>
        <v>6.2321476410913054E-2</v>
      </c>
      <c r="CH25" s="11" t="s">
        <v>22</v>
      </c>
      <c r="CI25" s="168">
        <v>48446</v>
      </c>
      <c r="CJ25" s="11">
        <v>200000000</v>
      </c>
      <c r="CK25" s="11">
        <v>2300000000</v>
      </c>
      <c r="CL25" s="139" t="str">
        <f t="shared" si="32"/>
        <v/>
      </c>
      <c r="CM25" s="112">
        <f t="shared" si="18"/>
        <v>48993.5</v>
      </c>
      <c r="CN25" s="139">
        <f>IFERROR(IF($Z25&gt;$E$12,"",IF($E$5="Uniform Inputs",INDEX($D$45:$E$53,MATCH($CL$3,$B$45:$B$53,0),MATCH(CN$4,$D$44:$E$44,0)),IF(CS25=0,"",CS25))),"")</f>
        <v>275000000</v>
      </c>
      <c r="CO25" s="139">
        <f>IFERROR(IF($Z25&gt;$E$12,"",IF($E$5="Uniform Inputs",INDEX($D$45:$E$53,MATCH($CL$3,$B$45:$B$53,0),MATCH(CO$4,$D$44:$E$44,0)),IF(CT25=0,"",CT25))),"")</f>
        <v>3000000000</v>
      </c>
      <c r="CP25" s="10">
        <f t="shared" ca="1" si="19"/>
        <v>5.6608674406579358E-2</v>
      </c>
      <c r="CQ25" s="11" t="s">
        <v>22</v>
      </c>
      <c r="CR25" s="168">
        <v>48993.5</v>
      </c>
      <c r="CS25" s="11">
        <v>275000000</v>
      </c>
      <c r="CT25" s="11">
        <v>3000000000</v>
      </c>
      <c r="CU25" s="139" t="str">
        <f t="shared" si="33"/>
        <v/>
      </c>
      <c r="CV25" s="112">
        <f t="shared" si="20"/>
        <v>49541</v>
      </c>
      <c r="CW25" s="139" t="str">
        <f>IFERROR(IF($Z25&gt;$E$12,"",IF($E$5="Uniform Inputs",INDEX($D$45:$E$53,MATCH($CU$3,$B$45:$B$53,0),MATCH(CW$4,$D$44:$E$44,0)),IF(DB25=0,"",DB25))),"")</f>
        <v/>
      </c>
      <c r="CX25" s="139" t="str">
        <f>IFERROR(IF($Z25&gt;$E$12,"",IF($E$5="Uniform Inputs",INDEX($D$45:$E$53,MATCH($CU$3,$B$45:$B$53,0),MATCH(CX$4,$D$44:$E$44,0)),IF(DC25=0,"",DC25))),"")</f>
        <v/>
      </c>
      <c r="CY25" s="10" t="str">
        <f t="shared" ca="1" si="21"/>
        <v/>
      </c>
      <c r="CZ25" s="11" t="s">
        <v>22</v>
      </c>
      <c r="DA25" s="168">
        <v>49541</v>
      </c>
      <c r="DB25" s="11" t="s">
        <v>22</v>
      </c>
      <c r="DC25" s="11" t="s">
        <v>22</v>
      </c>
    </row>
    <row r="26" spans="2:107" x14ac:dyDescent="0.25">
      <c r="B26" s="142" t="str" cm="1">
        <f t="array" ref="B26">"Fixed Follow-On Check Size ("&amp;INDEX($B$45:$B$53,MATCH($E$22,$B$45:$B$53,0)+3)&amp;")"</f>
        <v>Fixed Follow-On Check Size (Series C)</v>
      </c>
      <c r="D26" s="3"/>
      <c r="E26" s="65">
        <v>0</v>
      </c>
      <c r="K26" s="6">
        <f t="shared" si="22"/>
        <v>21</v>
      </c>
      <c r="L26" s="32">
        <v>0</v>
      </c>
      <c r="M26" s="33" t="s">
        <v>7</v>
      </c>
      <c r="O26" s="6">
        <f t="shared" si="23"/>
        <v>21</v>
      </c>
      <c r="P26" s="35" t="str">
        <f t="shared" ca="1" si="0"/>
        <v>Seed</v>
      </c>
      <c r="Q26" s="102">
        <f t="shared" ca="1" si="1"/>
        <v>0.18181818181818182</v>
      </c>
      <c r="R26" s="102">
        <f t="shared" ca="1" si="2"/>
        <v>0.13636363636363638</v>
      </c>
      <c r="S26" s="112">
        <f t="shared" si="24"/>
        <v>45191</v>
      </c>
      <c r="T26" s="112">
        <f t="shared" ca="1" si="3"/>
        <v>46286</v>
      </c>
      <c r="U26" s="1">
        <f t="shared" ca="1" si="25"/>
        <v>2000000</v>
      </c>
      <c r="V26" s="1">
        <f t="shared" ca="1" si="4"/>
        <v>0</v>
      </c>
      <c r="W26" s="34">
        <f t="shared" ca="1" si="26"/>
        <v>0</v>
      </c>
      <c r="Y26" s="2">
        <v>21</v>
      </c>
      <c r="Z26" s="6">
        <f t="shared" si="27"/>
        <v>21</v>
      </c>
      <c r="AA26" s="139">
        <f ca="1">IF($E$5="Uniform Inputs",IF($Z26&gt;$E$12,"",MIN($E$21,($I$5+'Cash Flows'!$BX$8+INDEX('Cash Flows'!$C$19:$BW$19,1,MATCH(EOMONTH(AB26,MOD(-MONTH(AB26),3)-3),'Cash Flows'!$C$4:$BW$4,0)))/$E$12)),IF(AF26&gt;0,AF26,""))</f>
        <v>2000000</v>
      </c>
      <c r="AB26" s="112">
        <f t="shared" si="28"/>
        <v>45191</v>
      </c>
      <c r="AC26" s="139">
        <f>IFERROR(IF($Z26&gt;$E$12,"",IF($E$5="Uniform Inputs",INDEX($D$45:$E$53,MATCH($AA$3,$B$45:$B$53,0),MATCH(AC$4,$D$44:$E$44,0)),IF(AH26=0,"",AH26))),"")</f>
        <v>3000000</v>
      </c>
      <c r="AD26" s="139">
        <f>IFERROR(IF($Z26&gt;$E$12,"",IF($E$5="Uniform Inputs",INDEX($D$45:$E$53,MATCH($AA$3,$B$45:$B$53,0),MATCH(AD$4,$D$44:$E$44,0)),IF(AI26=0,"",AI26))),"")</f>
        <v>11000000</v>
      </c>
      <c r="AE26" s="10">
        <f t="shared" ca="1" si="29"/>
        <v>0.18181818181818182</v>
      </c>
      <c r="AF26" s="11">
        <v>2000000</v>
      </c>
      <c r="AG26" s="168">
        <v>45191</v>
      </c>
      <c r="AH26" s="11">
        <v>3000000</v>
      </c>
      <c r="AI26" s="11">
        <v>11000000</v>
      </c>
      <c r="AJ26" s="139" t="str">
        <f>IF($E$5="Uniform Inputs",IF($Z26&gt;$E$13,"",IF($E$23="Pro-Rata",MIN(AL26*AE26,(($I$5+'Cash Flows'!$BX$8+INDEX('Cash Flows'!$C$19:$BW$19,1,MATCH(EOMONTH(AK26,MOD(-MONTH(AK26),3)-3),'Cash Flows'!$C$4:$BW$4,0)))-$AA$5)/$E$13),MIN($E$24,(($I$5+'Cash Flows'!$BX$8+INDEX('Cash Flows'!$C$19:$BW$19,1,MATCH(EOMONTH(AK26,MOD(-MONTH(AK26),3)-3),'Cash Flows'!$C$4:$BW$4,0)))-$AA$5)/$E$13))),IF(AO26=0,"",AO26))</f>
        <v/>
      </c>
      <c r="AK26" s="112">
        <f t="shared" si="6"/>
        <v>45738.5</v>
      </c>
      <c r="AL26" s="139">
        <f>IFERROR(IF($Z26&gt;$E$12,"",IF($E$5="Uniform Inputs",INDEX($D$45:$E$53,MATCH($AJ$3,$B$45:$B$53,0),MATCH(AL$4,$D$44:$E$44,0)),IF(AQ26=0,"",AQ26))),"")</f>
        <v>12000000</v>
      </c>
      <c r="AM26" s="139">
        <f>IFERROR(IF($Z26&gt;$E$12,"",IF($E$5="Uniform Inputs",INDEX($D$45:$E$53,MATCH($AJ$3,$B$45:$B$53,0),MATCH(AM$4,$D$44:$E$44,0)),IF(AR26=0,"",AR26))),"")</f>
        <v>48000000</v>
      </c>
      <c r="AN26" s="10">
        <f t="shared" ca="1" si="7"/>
        <v>0.13636363636363638</v>
      </c>
      <c r="AO26" s="11" t="s">
        <v>22</v>
      </c>
      <c r="AP26" s="168">
        <v>45738.5</v>
      </c>
      <c r="AQ26" s="11">
        <v>12000000</v>
      </c>
      <c r="AR26" s="11">
        <v>48000000</v>
      </c>
      <c r="AS26" s="139" t="str">
        <f>IF($E$5="Uniform Inputs",IF($Z26&gt;$E$14,"",IF($E$23="Pro-Rata",MIN(AU26*AN26,(($I$5+'Cash Flows'!$BX$8+INDEX('Cash Flows'!$C$19:$BW$19,1,MATCH(EOMONTH(AT26,MOD(-MONTH(AT26),3)-3),'Cash Flows'!$C$4:$BW$4,0)))-SUM($AJ$5,$AA$5))/$E$14),MIN($E$25,(($I$5+'Cash Flows'!$BX$8+INDEX('Cash Flows'!$C$19:$BW$19,1,MATCH(EOMONTH(AT26,MOD(-MONTH(AT26),3)-3),'Cash Flows'!$C$4:$BW$4,0)))-SUM($AJ$5,$AA$5))/$E$14))),IF(AX26=0,"",AX26))</f>
        <v/>
      </c>
      <c r="AT26" s="112">
        <f t="shared" si="8"/>
        <v>46286</v>
      </c>
      <c r="AU26" s="139">
        <f>IFERROR(IF($Z26&gt;$E$12,"",IF($E$5="Uniform Inputs",INDEX($D$45:$E$53,MATCH($AS$3,$B$45:$B$53,0),MATCH(AU$4,$D$44:$E$44,0)),IF(AZ26=0,"",AZ26))),"")</f>
        <v>31000000</v>
      </c>
      <c r="AV26" s="139">
        <f>IFERROR(IF($Z26&gt;$E$12,"",IF($E$5="Uniform Inputs",INDEX($D$45:$E$53,MATCH($AS$3,$B$45:$B$53,0),MATCH(AV$4,$D$44:$E$44,0)),IF(BA26=0,"",BA26))),"")</f>
        <v>142000000</v>
      </c>
      <c r="AW26" s="10">
        <f t="shared" ca="1" si="9"/>
        <v>0.1065941101152369</v>
      </c>
      <c r="AX26" s="11" t="s">
        <v>22</v>
      </c>
      <c r="AY26" s="168">
        <v>46286</v>
      </c>
      <c r="AZ26" s="11">
        <v>31000000</v>
      </c>
      <c r="BA26" s="11">
        <v>142000000</v>
      </c>
      <c r="BB26" s="139" t="str">
        <f>IF($E$5="Uniform Inputs",IF($Z26&gt;$E$15,"",IF($E$23="Pro-Rata",MIN(BD26*AW26,(($I$5+'Cash Flows'!$BX$8+INDEX('Cash Flows'!$C$19:$BW$19,1,MATCH(EOMONTH(BC26,MOD(-MONTH(BC26),3)-3),'Cash Flows'!$C$4:$BW$4,0)))-SUM($AS$5,$AJ$5,$AA$5))/$E$15),MIN($E$26,(($I$5+'Cash Flows'!$BX$8+INDEX('Cash Flows'!$C$19:$BW$19,1,MATCH(EOMONTH(BC26,MOD(-MONTH(BC26),3)-3),'Cash Flows'!$C$4:$BW$4,0)))-SUM($AS$5,$AJ$5,$AA$5))/$E$15))),IF(BG26=0,"",BG26))</f>
        <v/>
      </c>
      <c r="BC26" s="112">
        <f t="shared" si="10"/>
        <v>46833.5</v>
      </c>
      <c r="BD26" s="139">
        <f>IFERROR(IF($Z26&gt;$E$12,"",IF($E$5="Uniform Inputs",INDEX($D$45:$E$53,MATCH($BB$3,$B$45:$B$53,0),MATCH(BD$4,$D$44:$E$44,0)),IF(BI26=0,"",BI26))),"")</f>
        <v>70000000</v>
      </c>
      <c r="BE26" s="139">
        <f>IFERROR(IF($Z26&gt;$E$12,"",IF($E$5="Uniform Inputs",INDEX($D$45:$E$53,MATCH($BB$3,$B$45:$B$53,0),MATCH(BE$4,$D$44:$E$44,0)),IF(BJ26=0,"",BJ26))),"")</f>
        <v>375000000</v>
      </c>
      <c r="BF26" s="10">
        <f t="shared" ca="1" si="11"/>
        <v>8.6696542893726011E-2</v>
      </c>
      <c r="BG26" s="11" t="s">
        <v>22</v>
      </c>
      <c r="BH26" s="168">
        <v>46833.5</v>
      </c>
      <c r="BI26" s="11">
        <v>70000000</v>
      </c>
      <c r="BJ26" s="11">
        <v>375000000</v>
      </c>
      <c r="BK26" s="139" t="str">
        <f>IF($E$5="Uniform Inputs",IF($Z26&gt;$E$16,"",IF($E$23="Pro-Rata",MIN(BM26*BF26,(($I$5+'Cash Flows'!$BX$8+INDEX('Cash Flows'!$C$19:$BW$19,1,MATCH(EOMONTH(BL26,MOD(-MONTH(BL26),3)-3),'Cash Flows'!$C$4:$BW$4,0)))-SUM($BB$5,$AS$5,$AJ$5,$AA$5))/$E$16),MIN($E$27,(($I$5+'Cash Flows'!$BX$8+INDEX('Cash Flows'!$C$19:$BW$19,1,MATCH(EOMONTH(BL26,MOD(-MONTH(BL26),3)-3),'Cash Flows'!$C$4:$BW$4,0)))-SUM($BB$5,$AS$5,$AJ$5,$AA$5))/$E$16))),IF(BP26=0,"",BP26))</f>
        <v/>
      </c>
      <c r="BL26" s="112">
        <f t="shared" si="12"/>
        <v>47381</v>
      </c>
      <c r="BM26" s="139">
        <f>IFERROR(IF($Z26&gt;$E$12,"",IF($E$5="Uniform Inputs",INDEX($D$45:$E$53,MATCH($BK$3,$B$45:$B$53,0),MATCH(BM$4,$D$44:$E$44,0)),IF(BR26=0,"",BR26))),"")</f>
        <v>110000000</v>
      </c>
      <c r="BN26" s="139">
        <f>IFERROR(IF($Z26&gt;$E$12,"",IF($E$5="Uniform Inputs",INDEX($D$45:$E$53,MATCH($BK$3,$B$45:$B$53,0),MATCH(BN$4,$D$44:$E$44,0)),IF(BS26=0,"",BS26))),"")</f>
        <v>1000000000</v>
      </c>
      <c r="BO26" s="10">
        <f t="shared" ca="1" si="13"/>
        <v>7.7159923175416159E-2</v>
      </c>
      <c r="BP26" s="11" t="s">
        <v>22</v>
      </c>
      <c r="BQ26" s="168">
        <v>47381</v>
      </c>
      <c r="BR26" s="11">
        <v>110000000</v>
      </c>
      <c r="BS26" s="11">
        <v>1000000000</v>
      </c>
      <c r="BT26" s="139" t="str">
        <f t="shared" si="30"/>
        <v/>
      </c>
      <c r="BU26" s="112">
        <f t="shared" si="14"/>
        <v>47928.5</v>
      </c>
      <c r="BV26" s="139">
        <f>IFERROR(IF($Z26&gt;$E$12,"",IF($E$5="Uniform Inputs",INDEX($D$45:$E$53,MATCH($BT$3,$B$45:$B$53,0),MATCH(BV$4,$D$44:$E$44,0)),IF(CA26=0,"",CA26))),"")</f>
        <v>150000000</v>
      </c>
      <c r="BW26" s="139">
        <f>IFERROR(IF($Z26&gt;$E$12,"",IF($E$5="Uniform Inputs",INDEX($D$45:$E$53,MATCH($BT$3,$B$45:$B$53,0),MATCH(BW$4,$D$44:$E$44,0)),IF(CB26=0,"",CB26))),"")</f>
        <v>1300000000</v>
      </c>
      <c r="BX26" s="10">
        <f t="shared" ca="1" si="15"/>
        <v>6.8256855116714296E-2</v>
      </c>
      <c r="BY26" s="11" t="s">
        <v>22</v>
      </c>
      <c r="BZ26" s="168">
        <v>47928.5</v>
      </c>
      <c r="CA26" s="11">
        <v>150000000</v>
      </c>
      <c r="CB26" s="11">
        <v>1300000000</v>
      </c>
      <c r="CC26" s="139" t="str">
        <f t="shared" si="31"/>
        <v/>
      </c>
      <c r="CD26" s="112">
        <f t="shared" si="16"/>
        <v>48476</v>
      </c>
      <c r="CE26" s="139">
        <f>IFERROR(IF($Z26&gt;$E$12,"",IF($E$5="Uniform Inputs",INDEX($D$45:$E$53,MATCH($CC$3,$B$45:$B$53,0),MATCH(CE$4,$D$44:$E$44,0)),IF(CJ26=0,"",CJ26))),"")</f>
        <v>200000000</v>
      </c>
      <c r="CF26" s="139">
        <f>IFERROR(IF($Z26&gt;$E$12,"",IF($E$5="Uniform Inputs",INDEX($D$45:$E$53,MATCH($CC$3,$B$45:$B$53,0),MATCH(CF$4,$D$44:$E$44,0)),IF(CK26=0,"",CK26))),"")</f>
        <v>2300000000</v>
      </c>
      <c r="CG26" s="10">
        <f t="shared" ca="1" si="17"/>
        <v>6.2321476410913054E-2</v>
      </c>
      <c r="CH26" s="11" t="s">
        <v>22</v>
      </c>
      <c r="CI26" s="168">
        <v>48476</v>
      </c>
      <c r="CJ26" s="11">
        <v>200000000</v>
      </c>
      <c r="CK26" s="11">
        <v>2300000000</v>
      </c>
      <c r="CL26" s="139" t="str">
        <f t="shared" si="32"/>
        <v/>
      </c>
      <c r="CM26" s="112">
        <f t="shared" si="18"/>
        <v>49023.5</v>
      </c>
      <c r="CN26" s="139">
        <f>IFERROR(IF($Z26&gt;$E$12,"",IF($E$5="Uniform Inputs",INDEX($D$45:$E$53,MATCH($CL$3,$B$45:$B$53,0),MATCH(CN$4,$D$44:$E$44,0)),IF(CS26=0,"",CS26))),"")</f>
        <v>275000000</v>
      </c>
      <c r="CO26" s="139">
        <f>IFERROR(IF($Z26&gt;$E$12,"",IF($E$5="Uniform Inputs",INDEX($D$45:$E$53,MATCH($CL$3,$B$45:$B$53,0),MATCH(CO$4,$D$44:$E$44,0)),IF(CT26=0,"",CT26))),"")</f>
        <v>3000000000</v>
      </c>
      <c r="CP26" s="10">
        <f t="shared" ca="1" si="19"/>
        <v>5.6608674406579358E-2</v>
      </c>
      <c r="CQ26" s="11" t="s">
        <v>22</v>
      </c>
      <c r="CR26" s="168">
        <v>49023.5</v>
      </c>
      <c r="CS26" s="11">
        <v>275000000</v>
      </c>
      <c r="CT26" s="11">
        <v>3000000000</v>
      </c>
      <c r="CU26" s="139" t="str">
        <f t="shared" si="33"/>
        <v/>
      </c>
      <c r="CV26" s="112">
        <f t="shared" si="20"/>
        <v>49571</v>
      </c>
      <c r="CW26" s="139" t="str">
        <f>IFERROR(IF($Z26&gt;$E$12,"",IF($E$5="Uniform Inputs",INDEX($D$45:$E$53,MATCH($CU$3,$B$45:$B$53,0),MATCH(CW$4,$D$44:$E$44,0)),IF(DB26=0,"",DB26))),"")</f>
        <v/>
      </c>
      <c r="CX26" s="139" t="str">
        <f>IFERROR(IF($Z26&gt;$E$12,"",IF($E$5="Uniform Inputs",INDEX($D$45:$E$53,MATCH($CU$3,$B$45:$B$53,0),MATCH(CX$4,$D$44:$E$44,0)),IF(DC26=0,"",DC26))),"")</f>
        <v/>
      </c>
      <c r="CY26" s="10" t="str">
        <f t="shared" ca="1" si="21"/>
        <v/>
      </c>
      <c r="CZ26" s="11" t="s">
        <v>22</v>
      </c>
      <c r="DA26" s="168">
        <v>49571</v>
      </c>
      <c r="DB26" s="11" t="s">
        <v>22</v>
      </c>
      <c r="DC26" s="11" t="s">
        <v>22</v>
      </c>
    </row>
    <row r="27" spans="2:107" x14ac:dyDescent="0.25">
      <c r="B27" s="142" t="str" cm="1">
        <f t="array" ref="B27">"Fixed Follow-On Check Size ("&amp;INDEX($B$45:$B$53,MATCH($E$22,$B$45:$B$53,0)+4)&amp;")"</f>
        <v>Fixed Follow-On Check Size (Series D)</v>
      </c>
      <c r="D27" s="3"/>
      <c r="E27" s="65">
        <v>0</v>
      </c>
      <c r="G27" s="74" t="s">
        <v>52</v>
      </c>
      <c r="H27" s="55"/>
      <c r="I27" s="56"/>
      <c r="K27" s="6">
        <f t="shared" si="22"/>
        <v>22</v>
      </c>
      <c r="L27" s="32">
        <v>0</v>
      </c>
      <c r="M27" s="141" t="s">
        <v>7</v>
      </c>
      <c r="O27" s="6">
        <f t="shared" si="23"/>
        <v>22</v>
      </c>
      <c r="P27" s="35" t="str">
        <f t="shared" ca="1" si="0"/>
        <v>Seed</v>
      </c>
      <c r="Q27" s="102">
        <f t="shared" ca="1" si="1"/>
        <v>0.18181818181818182</v>
      </c>
      <c r="R27" s="102">
        <f t="shared" ca="1" si="2"/>
        <v>0.13636363636363638</v>
      </c>
      <c r="S27" s="112">
        <f t="shared" si="24"/>
        <v>45221</v>
      </c>
      <c r="T27" s="112">
        <f t="shared" ca="1" si="3"/>
        <v>46316</v>
      </c>
      <c r="U27" s="1">
        <f t="shared" ca="1" si="25"/>
        <v>2000000</v>
      </c>
      <c r="V27" s="1">
        <f t="shared" ca="1" si="4"/>
        <v>0</v>
      </c>
      <c r="W27" s="34">
        <f t="shared" ca="1" si="26"/>
        <v>0</v>
      </c>
      <c r="Y27" s="2">
        <v>22</v>
      </c>
      <c r="Z27" s="6">
        <f t="shared" si="27"/>
        <v>22</v>
      </c>
      <c r="AA27" s="139">
        <f ca="1">IF($E$5="Uniform Inputs",IF($Z27&gt;$E$12,"",MIN($E$21,($I$5+'Cash Flows'!$BX$8+INDEX('Cash Flows'!$C$19:$BW$19,1,MATCH(EOMONTH(AB27,MOD(-MONTH(AB27),3)-3),'Cash Flows'!$C$4:$BW$4,0)))/$E$12)),IF(AF27&gt;0,AF27,""))</f>
        <v>2000000</v>
      </c>
      <c r="AB27" s="112">
        <f t="shared" si="28"/>
        <v>45221</v>
      </c>
      <c r="AC27" s="139">
        <f>IFERROR(IF($Z27&gt;$E$12,"",IF($E$5="Uniform Inputs",INDEX($D$45:$E$53,MATCH($AA$3,$B$45:$B$53,0),MATCH(AC$4,$D$44:$E$44,0)),IF(AH27=0,"",AH27))),"")</f>
        <v>3000000</v>
      </c>
      <c r="AD27" s="139">
        <f>IFERROR(IF($Z27&gt;$E$12,"",IF($E$5="Uniform Inputs",INDEX($D$45:$E$53,MATCH($AA$3,$B$45:$B$53,0),MATCH(AD$4,$D$44:$E$44,0)),IF(AI27=0,"",AI27))),"")</f>
        <v>11000000</v>
      </c>
      <c r="AE27" s="10">
        <f t="shared" ca="1" si="29"/>
        <v>0.18181818181818182</v>
      </c>
      <c r="AF27" s="11">
        <v>2000000</v>
      </c>
      <c r="AG27" s="168">
        <v>45221</v>
      </c>
      <c r="AH27" s="11">
        <v>3000000</v>
      </c>
      <c r="AI27" s="11">
        <v>11000000</v>
      </c>
      <c r="AJ27" s="139" t="str">
        <f>IF($E$5="Uniform Inputs",IF($Z27&gt;$E$13,"",IF($E$23="Pro-Rata",MIN(AL27*AE27,(($I$5+'Cash Flows'!$BX$8+INDEX('Cash Flows'!$C$19:$BW$19,1,MATCH(EOMONTH(AK27,MOD(-MONTH(AK27),3)-3),'Cash Flows'!$C$4:$BW$4,0)))-$AA$5)/$E$13),MIN($E$24,(($I$5+'Cash Flows'!$BX$8+INDEX('Cash Flows'!$C$19:$BW$19,1,MATCH(EOMONTH(AK27,MOD(-MONTH(AK27),3)-3),'Cash Flows'!$C$4:$BW$4,0)))-$AA$5)/$E$13))),IF(AO27=0,"",AO27))</f>
        <v/>
      </c>
      <c r="AK27" s="112">
        <f t="shared" si="6"/>
        <v>45768.5</v>
      </c>
      <c r="AL27" s="139">
        <f>IFERROR(IF($Z27&gt;$E$12,"",IF($E$5="Uniform Inputs",INDEX($D$45:$E$53,MATCH($AJ$3,$B$45:$B$53,0),MATCH(AL$4,$D$44:$E$44,0)),IF(AQ27=0,"",AQ27))),"")</f>
        <v>12000000</v>
      </c>
      <c r="AM27" s="139">
        <f>IFERROR(IF($Z27&gt;$E$12,"",IF($E$5="Uniform Inputs",INDEX($D$45:$E$53,MATCH($AJ$3,$B$45:$B$53,0),MATCH(AM$4,$D$44:$E$44,0)),IF(AR27=0,"",AR27))),"")</f>
        <v>48000000</v>
      </c>
      <c r="AN27" s="10">
        <f t="shared" ca="1" si="7"/>
        <v>0.13636363636363638</v>
      </c>
      <c r="AO27" s="11" t="s">
        <v>22</v>
      </c>
      <c r="AP27" s="168">
        <v>45768.5</v>
      </c>
      <c r="AQ27" s="11">
        <v>12000000</v>
      </c>
      <c r="AR27" s="11">
        <v>48000000</v>
      </c>
      <c r="AS27" s="139" t="str">
        <f>IF($E$5="Uniform Inputs",IF($Z27&gt;$E$14,"",IF($E$23="Pro-Rata",MIN(AU27*AN27,(($I$5+'Cash Flows'!$BX$8+INDEX('Cash Flows'!$C$19:$BW$19,1,MATCH(EOMONTH(AT27,MOD(-MONTH(AT27),3)-3),'Cash Flows'!$C$4:$BW$4,0)))-SUM($AJ$5,$AA$5))/$E$14),MIN($E$25,(($I$5+'Cash Flows'!$BX$8+INDEX('Cash Flows'!$C$19:$BW$19,1,MATCH(EOMONTH(AT27,MOD(-MONTH(AT27),3)-3),'Cash Flows'!$C$4:$BW$4,0)))-SUM($AJ$5,$AA$5))/$E$14))),IF(AX27=0,"",AX27))</f>
        <v/>
      </c>
      <c r="AT27" s="112">
        <f t="shared" si="8"/>
        <v>46316</v>
      </c>
      <c r="AU27" s="139">
        <f>IFERROR(IF($Z27&gt;$E$12,"",IF($E$5="Uniform Inputs",INDEX($D$45:$E$53,MATCH($AS$3,$B$45:$B$53,0),MATCH(AU$4,$D$44:$E$44,0)),IF(AZ27=0,"",AZ27))),"")</f>
        <v>31000000</v>
      </c>
      <c r="AV27" s="139">
        <f>IFERROR(IF($Z27&gt;$E$12,"",IF($E$5="Uniform Inputs",INDEX($D$45:$E$53,MATCH($AS$3,$B$45:$B$53,0),MATCH(AV$4,$D$44:$E$44,0)),IF(BA27=0,"",BA27))),"")</f>
        <v>142000000</v>
      </c>
      <c r="AW27" s="10">
        <f t="shared" ca="1" si="9"/>
        <v>0.1065941101152369</v>
      </c>
      <c r="AX27" s="11" t="s">
        <v>22</v>
      </c>
      <c r="AY27" s="168">
        <v>46316</v>
      </c>
      <c r="AZ27" s="11">
        <v>31000000</v>
      </c>
      <c r="BA27" s="11">
        <v>142000000</v>
      </c>
      <c r="BB27" s="139" t="str">
        <f>IF($E$5="Uniform Inputs",IF($Z27&gt;$E$15,"",IF($E$23="Pro-Rata",MIN(BD27*AW27,(($I$5+'Cash Flows'!$BX$8+INDEX('Cash Flows'!$C$19:$BW$19,1,MATCH(EOMONTH(BC27,MOD(-MONTH(BC27),3)-3),'Cash Flows'!$C$4:$BW$4,0)))-SUM($AS$5,$AJ$5,$AA$5))/$E$15),MIN($E$26,(($I$5+'Cash Flows'!$BX$8+INDEX('Cash Flows'!$C$19:$BW$19,1,MATCH(EOMONTH(BC27,MOD(-MONTH(BC27),3)-3),'Cash Flows'!$C$4:$BW$4,0)))-SUM($AS$5,$AJ$5,$AA$5))/$E$15))),IF(BG27=0,"",BG27))</f>
        <v/>
      </c>
      <c r="BC27" s="112">
        <f t="shared" si="10"/>
        <v>46863.5</v>
      </c>
      <c r="BD27" s="139">
        <f>IFERROR(IF($Z27&gt;$E$12,"",IF($E$5="Uniform Inputs",INDEX($D$45:$E$53,MATCH($BB$3,$B$45:$B$53,0),MATCH(BD$4,$D$44:$E$44,0)),IF(BI27=0,"",BI27))),"")</f>
        <v>70000000</v>
      </c>
      <c r="BE27" s="139">
        <f>IFERROR(IF($Z27&gt;$E$12,"",IF($E$5="Uniform Inputs",INDEX($D$45:$E$53,MATCH($BB$3,$B$45:$B$53,0),MATCH(BE$4,$D$44:$E$44,0)),IF(BJ27=0,"",BJ27))),"")</f>
        <v>375000000</v>
      </c>
      <c r="BF27" s="10">
        <f t="shared" ca="1" si="11"/>
        <v>8.6696542893726011E-2</v>
      </c>
      <c r="BG27" s="11" t="s">
        <v>22</v>
      </c>
      <c r="BH27" s="168">
        <v>46863.5</v>
      </c>
      <c r="BI27" s="11">
        <v>70000000</v>
      </c>
      <c r="BJ27" s="11">
        <v>375000000</v>
      </c>
      <c r="BK27" s="139" t="str">
        <f>IF($E$5="Uniform Inputs",IF($Z27&gt;$E$16,"",IF($E$23="Pro-Rata",MIN(BM27*BF27,(($I$5+'Cash Flows'!$BX$8+INDEX('Cash Flows'!$C$19:$BW$19,1,MATCH(EOMONTH(BL27,MOD(-MONTH(BL27),3)-3),'Cash Flows'!$C$4:$BW$4,0)))-SUM($BB$5,$AS$5,$AJ$5,$AA$5))/$E$16),MIN($E$27,(($I$5+'Cash Flows'!$BX$8+INDEX('Cash Flows'!$C$19:$BW$19,1,MATCH(EOMONTH(BL27,MOD(-MONTH(BL27),3)-3),'Cash Flows'!$C$4:$BW$4,0)))-SUM($BB$5,$AS$5,$AJ$5,$AA$5))/$E$16))),IF(BP27=0,"",BP27))</f>
        <v/>
      </c>
      <c r="BL27" s="112">
        <f t="shared" si="12"/>
        <v>47411</v>
      </c>
      <c r="BM27" s="139">
        <f>IFERROR(IF($Z27&gt;$E$12,"",IF($E$5="Uniform Inputs",INDEX($D$45:$E$53,MATCH($BK$3,$B$45:$B$53,0),MATCH(BM$4,$D$44:$E$44,0)),IF(BR27=0,"",BR27))),"")</f>
        <v>110000000</v>
      </c>
      <c r="BN27" s="139">
        <f>IFERROR(IF($Z27&gt;$E$12,"",IF($E$5="Uniform Inputs",INDEX($D$45:$E$53,MATCH($BK$3,$B$45:$B$53,0),MATCH(BN$4,$D$44:$E$44,0)),IF(BS27=0,"",BS27))),"")</f>
        <v>1000000000</v>
      </c>
      <c r="BO27" s="10">
        <f t="shared" ca="1" si="13"/>
        <v>7.7159923175416159E-2</v>
      </c>
      <c r="BP27" s="11" t="s">
        <v>22</v>
      </c>
      <c r="BQ27" s="168">
        <v>47411</v>
      </c>
      <c r="BR27" s="11">
        <v>110000000</v>
      </c>
      <c r="BS27" s="11">
        <v>1000000000</v>
      </c>
      <c r="BT27" s="139" t="str">
        <f t="shared" si="30"/>
        <v/>
      </c>
      <c r="BU27" s="112">
        <f t="shared" si="14"/>
        <v>47958.5</v>
      </c>
      <c r="BV27" s="139">
        <f>IFERROR(IF($Z27&gt;$E$12,"",IF($E$5="Uniform Inputs",INDEX($D$45:$E$53,MATCH($BT$3,$B$45:$B$53,0),MATCH(BV$4,$D$44:$E$44,0)),IF(CA27=0,"",CA27))),"")</f>
        <v>150000000</v>
      </c>
      <c r="BW27" s="139">
        <f>IFERROR(IF($Z27&gt;$E$12,"",IF($E$5="Uniform Inputs",INDEX($D$45:$E$53,MATCH($BT$3,$B$45:$B$53,0),MATCH(BW$4,$D$44:$E$44,0)),IF(CB27=0,"",CB27))),"")</f>
        <v>1300000000</v>
      </c>
      <c r="BX27" s="10">
        <f t="shared" ca="1" si="15"/>
        <v>6.8256855116714296E-2</v>
      </c>
      <c r="BY27" s="11" t="s">
        <v>22</v>
      </c>
      <c r="BZ27" s="168">
        <v>47958.5</v>
      </c>
      <c r="CA27" s="11">
        <v>150000000</v>
      </c>
      <c r="CB27" s="11">
        <v>1300000000</v>
      </c>
      <c r="CC27" s="139" t="str">
        <f t="shared" si="31"/>
        <v/>
      </c>
      <c r="CD27" s="112">
        <f t="shared" si="16"/>
        <v>48506</v>
      </c>
      <c r="CE27" s="139">
        <f>IFERROR(IF($Z27&gt;$E$12,"",IF($E$5="Uniform Inputs",INDEX($D$45:$E$53,MATCH($CC$3,$B$45:$B$53,0),MATCH(CE$4,$D$44:$E$44,0)),IF(CJ27=0,"",CJ27))),"")</f>
        <v>200000000</v>
      </c>
      <c r="CF27" s="139">
        <f>IFERROR(IF($Z27&gt;$E$12,"",IF($E$5="Uniform Inputs",INDEX($D$45:$E$53,MATCH($CC$3,$B$45:$B$53,0),MATCH(CF$4,$D$44:$E$44,0)),IF(CK27=0,"",CK27))),"")</f>
        <v>2300000000</v>
      </c>
      <c r="CG27" s="10">
        <f t="shared" ca="1" si="17"/>
        <v>6.2321476410913054E-2</v>
      </c>
      <c r="CH27" s="11" t="s">
        <v>22</v>
      </c>
      <c r="CI27" s="168">
        <v>48506</v>
      </c>
      <c r="CJ27" s="11">
        <v>200000000</v>
      </c>
      <c r="CK27" s="11">
        <v>2300000000</v>
      </c>
      <c r="CL27" s="139" t="str">
        <f t="shared" si="32"/>
        <v/>
      </c>
      <c r="CM27" s="112">
        <f t="shared" si="18"/>
        <v>49053.5</v>
      </c>
      <c r="CN27" s="139">
        <f>IFERROR(IF($Z27&gt;$E$12,"",IF($E$5="Uniform Inputs",INDEX($D$45:$E$53,MATCH($CL$3,$B$45:$B$53,0),MATCH(CN$4,$D$44:$E$44,0)),IF(CS27=0,"",CS27))),"")</f>
        <v>275000000</v>
      </c>
      <c r="CO27" s="139">
        <f>IFERROR(IF($Z27&gt;$E$12,"",IF($E$5="Uniform Inputs",INDEX($D$45:$E$53,MATCH($CL$3,$B$45:$B$53,0),MATCH(CO$4,$D$44:$E$44,0)),IF(CT27=0,"",CT27))),"")</f>
        <v>3000000000</v>
      </c>
      <c r="CP27" s="10">
        <f t="shared" ca="1" si="19"/>
        <v>5.6608674406579358E-2</v>
      </c>
      <c r="CQ27" s="11" t="s">
        <v>22</v>
      </c>
      <c r="CR27" s="168">
        <v>49053.5</v>
      </c>
      <c r="CS27" s="11">
        <v>275000000</v>
      </c>
      <c r="CT27" s="11">
        <v>3000000000</v>
      </c>
      <c r="CU27" s="139" t="str">
        <f t="shared" si="33"/>
        <v/>
      </c>
      <c r="CV27" s="112">
        <f t="shared" si="20"/>
        <v>49601</v>
      </c>
      <c r="CW27" s="139" t="str">
        <f>IFERROR(IF($Z27&gt;$E$12,"",IF($E$5="Uniform Inputs",INDEX($D$45:$E$53,MATCH($CU$3,$B$45:$B$53,0),MATCH(CW$4,$D$44:$E$44,0)),IF(DB27=0,"",DB27))),"")</f>
        <v/>
      </c>
      <c r="CX27" s="139" t="str">
        <f>IFERROR(IF($Z27&gt;$E$12,"",IF($E$5="Uniform Inputs",INDEX($D$45:$E$53,MATCH($CU$3,$B$45:$B$53,0),MATCH(CX$4,$D$44:$E$44,0)),IF(DC27=0,"",DC27))),"")</f>
        <v/>
      </c>
      <c r="CY27" s="10" t="str">
        <f t="shared" ca="1" si="21"/>
        <v/>
      </c>
      <c r="CZ27" s="11" t="s">
        <v>22</v>
      </c>
      <c r="DA27" s="168">
        <v>49601</v>
      </c>
      <c r="DB27" s="11" t="s">
        <v>22</v>
      </c>
      <c r="DC27" s="11" t="s">
        <v>22</v>
      </c>
    </row>
    <row r="28" spans="2:107" x14ac:dyDescent="0.25">
      <c r="B28" s="142" t="s">
        <v>108</v>
      </c>
      <c r="D28" s="3"/>
      <c r="E28" s="113">
        <v>1.5</v>
      </c>
      <c r="G28" s="86" t="s">
        <v>130</v>
      </c>
      <c r="H28" s="86"/>
      <c r="I28" s="110">
        <f ca="1">(V5-V6)/(U5-U6)</f>
        <v>3.6673976647697755</v>
      </c>
      <c r="K28" s="6">
        <f t="shared" si="22"/>
        <v>23</v>
      </c>
      <c r="L28" s="32">
        <v>0</v>
      </c>
      <c r="M28" s="141" t="s">
        <v>7</v>
      </c>
      <c r="O28" s="6">
        <f t="shared" si="23"/>
        <v>23</v>
      </c>
      <c r="P28" s="35" t="str">
        <f t="shared" ca="1" si="0"/>
        <v>Seed</v>
      </c>
      <c r="Q28" s="102">
        <f t="shared" ca="1" si="1"/>
        <v>0.18181818181818182</v>
      </c>
      <c r="R28" s="102">
        <f t="shared" ca="1" si="2"/>
        <v>0.13636363636363638</v>
      </c>
      <c r="S28" s="112">
        <f t="shared" si="24"/>
        <v>45251</v>
      </c>
      <c r="T28" s="112">
        <f t="shared" ca="1" si="3"/>
        <v>46346</v>
      </c>
      <c r="U28" s="1">
        <f t="shared" ca="1" si="25"/>
        <v>2000000</v>
      </c>
      <c r="V28" s="1">
        <f t="shared" ca="1" si="4"/>
        <v>0</v>
      </c>
      <c r="W28" s="34">
        <f t="shared" ca="1" si="26"/>
        <v>0</v>
      </c>
      <c r="Y28" s="2">
        <v>23</v>
      </c>
      <c r="Z28" s="6">
        <f t="shared" si="27"/>
        <v>23</v>
      </c>
      <c r="AA28" s="139">
        <f ca="1">IF($E$5="Uniform Inputs",IF($Z28&gt;$E$12,"",MIN($E$21,($I$5+'Cash Flows'!$BX$8+INDEX('Cash Flows'!$C$19:$BW$19,1,MATCH(EOMONTH(AB28,MOD(-MONTH(AB28),3)-3),'Cash Flows'!$C$4:$BW$4,0)))/$E$12)),IF(AF28&gt;0,AF28,""))</f>
        <v>2000000</v>
      </c>
      <c r="AB28" s="112">
        <f t="shared" si="28"/>
        <v>45251</v>
      </c>
      <c r="AC28" s="139">
        <f>IFERROR(IF($Z28&gt;$E$12,"",IF($E$5="Uniform Inputs",INDEX($D$45:$E$53,MATCH($AA$3,$B$45:$B$53,0),MATCH(AC$4,$D$44:$E$44,0)),IF(AH28=0,"",AH28))),"")</f>
        <v>3000000</v>
      </c>
      <c r="AD28" s="139">
        <f>IFERROR(IF($Z28&gt;$E$12,"",IF($E$5="Uniform Inputs",INDEX($D$45:$E$53,MATCH($AA$3,$B$45:$B$53,0),MATCH(AD$4,$D$44:$E$44,0)),IF(AI28=0,"",AI28))),"")</f>
        <v>11000000</v>
      </c>
      <c r="AE28" s="10">
        <f t="shared" ca="1" si="29"/>
        <v>0.18181818181818182</v>
      </c>
      <c r="AF28" s="11">
        <v>2000000</v>
      </c>
      <c r="AG28" s="168">
        <v>45251</v>
      </c>
      <c r="AH28" s="11">
        <v>3000000</v>
      </c>
      <c r="AI28" s="11">
        <v>11000000</v>
      </c>
      <c r="AJ28" s="139" t="str">
        <f>IF($E$5="Uniform Inputs",IF($Z28&gt;$E$13,"",IF($E$23="Pro-Rata",MIN(AL28*AE28,(($I$5+'Cash Flows'!$BX$8+INDEX('Cash Flows'!$C$19:$BW$19,1,MATCH(EOMONTH(AK28,MOD(-MONTH(AK28),3)-3),'Cash Flows'!$C$4:$BW$4,0)))-$AA$5)/$E$13),MIN($E$24,(($I$5+'Cash Flows'!$BX$8+INDEX('Cash Flows'!$C$19:$BW$19,1,MATCH(EOMONTH(AK28,MOD(-MONTH(AK28),3)-3),'Cash Flows'!$C$4:$BW$4,0)))-$AA$5)/$E$13))),IF(AO28=0,"",AO28))</f>
        <v/>
      </c>
      <c r="AK28" s="112">
        <f t="shared" si="6"/>
        <v>45798.5</v>
      </c>
      <c r="AL28" s="139">
        <f>IFERROR(IF($Z28&gt;$E$12,"",IF($E$5="Uniform Inputs",INDEX($D$45:$E$53,MATCH($AJ$3,$B$45:$B$53,0),MATCH(AL$4,$D$44:$E$44,0)),IF(AQ28=0,"",AQ28))),"")</f>
        <v>12000000</v>
      </c>
      <c r="AM28" s="139">
        <f>IFERROR(IF($Z28&gt;$E$12,"",IF($E$5="Uniform Inputs",INDEX($D$45:$E$53,MATCH($AJ$3,$B$45:$B$53,0),MATCH(AM$4,$D$44:$E$44,0)),IF(AR28=0,"",AR28))),"")</f>
        <v>48000000</v>
      </c>
      <c r="AN28" s="10">
        <f t="shared" ca="1" si="7"/>
        <v>0.13636363636363638</v>
      </c>
      <c r="AO28" s="11" t="s">
        <v>22</v>
      </c>
      <c r="AP28" s="168">
        <v>45798.5</v>
      </c>
      <c r="AQ28" s="11">
        <v>12000000</v>
      </c>
      <c r="AR28" s="11">
        <v>48000000</v>
      </c>
      <c r="AS28" s="139" t="str">
        <f>IF($E$5="Uniform Inputs",IF($Z28&gt;$E$14,"",IF($E$23="Pro-Rata",MIN(AU28*AN28,(($I$5+'Cash Flows'!$BX$8+INDEX('Cash Flows'!$C$19:$BW$19,1,MATCH(EOMONTH(AT28,MOD(-MONTH(AT28),3)-3),'Cash Flows'!$C$4:$BW$4,0)))-SUM($AJ$5,$AA$5))/$E$14),MIN($E$25,(($I$5+'Cash Flows'!$BX$8+INDEX('Cash Flows'!$C$19:$BW$19,1,MATCH(EOMONTH(AT28,MOD(-MONTH(AT28),3)-3),'Cash Flows'!$C$4:$BW$4,0)))-SUM($AJ$5,$AA$5))/$E$14))),IF(AX28=0,"",AX28))</f>
        <v/>
      </c>
      <c r="AT28" s="112">
        <f t="shared" si="8"/>
        <v>46346</v>
      </c>
      <c r="AU28" s="139">
        <f>IFERROR(IF($Z28&gt;$E$12,"",IF($E$5="Uniform Inputs",INDEX($D$45:$E$53,MATCH($AS$3,$B$45:$B$53,0),MATCH(AU$4,$D$44:$E$44,0)),IF(AZ28=0,"",AZ28))),"")</f>
        <v>31000000</v>
      </c>
      <c r="AV28" s="139">
        <f>IFERROR(IF($Z28&gt;$E$12,"",IF($E$5="Uniform Inputs",INDEX($D$45:$E$53,MATCH($AS$3,$B$45:$B$53,0),MATCH(AV$4,$D$44:$E$44,0)),IF(BA28=0,"",BA28))),"")</f>
        <v>142000000</v>
      </c>
      <c r="AW28" s="10">
        <f t="shared" ca="1" si="9"/>
        <v>0.1065941101152369</v>
      </c>
      <c r="AX28" s="11" t="s">
        <v>22</v>
      </c>
      <c r="AY28" s="168">
        <v>46346</v>
      </c>
      <c r="AZ28" s="11">
        <v>31000000</v>
      </c>
      <c r="BA28" s="11">
        <v>142000000</v>
      </c>
      <c r="BB28" s="139" t="str">
        <f>IF($E$5="Uniform Inputs",IF($Z28&gt;$E$15,"",IF($E$23="Pro-Rata",MIN(BD28*AW28,(($I$5+'Cash Flows'!$BX$8+INDEX('Cash Flows'!$C$19:$BW$19,1,MATCH(EOMONTH(BC28,MOD(-MONTH(BC28),3)-3),'Cash Flows'!$C$4:$BW$4,0)))-SUM($AS$5,$AJ$5,$AA$5))/$E$15),MIN($E$26,(($I$5+'Cash Flows'!$BX$8+INDEX('Cash Flows'!$C$19:$BW$19,1,MATCH(EOMONTH(BC28,MOD(-MONTH(BC28),3)-3),'Cash Flows'!$C$4:$BW$4,0)))-SUM($AS$5,$AJ$5,$AA$5))/$E$15))),IF(BG28=0,"",BG28))</f>
        <v/>
      </c>
      <c r="BC28" s="112">
        <f t="shared" si="10"/>
        <v>46893.5</v>
      </c>
      <c r="BD28" s="139">
        <f>IFERROR(IF($Z28&gt;$E$12,"",IF($E$5="Uniform Inputs",INDEX($D$45:$E$53,MATCH($BB$3,$B$45:$B$53,0),MATCH(BD$4,$D$44:$E$44,0)),IF(BI28=0,"",BI28))),"")</f>
        <v>70000000</v>
      </c>
      <c r="BE28" s="139">
        <f>IFERROR(IF($Z28&gt;$E$12,"",IF($E$5="Uniform Inputs",INDEX($D$45:$E$53,MATCH($BB$3,$B$45:$B$53,0),MATCH(BE$4,$D$44:$E$44,0)),IF(BJ28=0,"",BJ28))),"")</f>
        <v>375000000</v>
      </c>
      <c r="BF28" s="10">
        <f t="shared" ca="1" si="11"/>
        <v>8.6696542893726011E-2</v>
      </c>
      <c r="BG28" s="11" t="s">
        <v>22</v>
      </c>
      <c r="BH28" s="168">
        <v>46893.5</v>
      </c>
      <c r="BI28" s="11">
        <v>70000000</v>
      </c>
      <c r="BJ28" s="11">
        <v>375000000</v>
      </c>
      <c r="BK28" s="139" t="str">
        <f>IF($E$5="Uniform Inputs",IF($Z28&gt;$E$16,"",IF($E$23="Pro-Rata",MIN(BM28*BF28,(($I$5+'Cash Flows'!$BX$8+INDEX('Cash Flows'!$C$19:$BW$19,1,MATCH(EOMONTH(BL28,MOD(-MONTH(BL28),3)-3),'Cash Flows'!$C$4:$BW$4,0)))-SUM($BB$5,$AS$5,$AJ$5,$AA$5))/$E$16),MIN($E$27,(($I$5+'Cash Flows'!$BX$8+INDEX('Cash Flows'!$C$19:$BW$19,1,MATCH(EOMONTH(BL28,MOD(-MONTH(BL28),3)-3),'Cash Flows'!$C$4:$BW$4,0)))-SUM($BB$5,$AS$5,$AJ$5,$AA$5))/$E$16))),IF(BP28=0,"",BP28))</f>
        <v/>
      </c>
      <c r="BL28" s="112">
        <f t="shared" si="12"/>
        <v>47441</v>
      </c>
      <c r="BM28" s="139">
        <f>IFERROR(IF($Z28&gt;$E$12,"",IF($E$5="Uniform Inputs",INDEX($D$45:$E$53,MATCH($BK$3,$B$45:$B$53,0),MATCH(BM$4,$D$44:$E$44,0)),IF(BR28=0,"",BR28))),"")</f>
        <v>110000000</v>
      </c>
      <c r="BN28" s="139">
        <f>IFERROR(IF($Z28&gt;$E$12,"",IF($E$5="Uniform Inputs",INDEX($D$45:$E$53,MATCH($BK$3,$B$45:$B$53,0),MATCH(BN$4,$D$44:$E$44,0)),IF(BS28=0,"",BS28))),"")</f>
        <v>1000000000</v>
      </c>
      <c r="BO28" s="10">
        <f t="shared" ca="1" si="13"/>
        <v>7.7159923175416159E-2</v>
      </c>
      <c r="BP28" s="11" t="s">
        <v>22</v>
      </c>
      <c r="BQ28" s="168">
        <v>47441</v>
      </c>
      <c r="BR28" s="11">
        <v>110000000</v>
      </c>
      <c r="BS28" s="11">
        <v>1000000000</v>
      </c>
      <c r="BT28" s="139" t="str">
        <f t="shared" si="30"/>
        <v/>
      </c>
      <c r="BU28" s="112">
        <f t="shared" si="14"/>
        <v>47988.5</v>
      </c>
      <c r="BV28" s="139">
        <f>IFERROR(IF($Z28&gt;$E$12,"",IF($E$5="Uniform Inputs",INDEX($D$45:$E$53,MATCH($BT$3,$B$45:$B$53,0),MATCH(BV$4,$D$44:$E$44,0)),IF(CA28=0,"",CA28))),"")</f>
        <v>150000000</v>
      </c>
      <c r="BW28" s="139">
        <f>IFERROR(IF($Z28&gt;$E$12,"",IF($E$5="Uniform Inputs",INDEX($D$45:$E$53,MATCH($BT$3,$B$45:$B$53,0),MATCH(BW$4,$D$44:$E$44,0)),IF(CB28=0,"",CB28))),"")</f>
        <v>1300000000</v>
      </c>
      <c r="BX28" s="10">
        <f t="shared" ca="1" si="15"/>
        <v>6.8256855116714296E-2</v>
      </c>
      <c r="BY28" s="11" t="s">
        <v>22</v>
      </c>
      <c r="BZ28" s="168">
        <v>47988.5</v>
      </c>
      <c r="CA28" s="11">
        <v>150000000</v>
      </c>
      <c r="CB28" s="11">
        <v>1300000000</v>
      </c>
      <c r="CC28" s="139" t="str">
        <f t="shared" si="31"/>
        <v/>
      </c>
      <c r="CD28" s="112">
        <f t="shared" si="16"/>
        <v>48536</v>
      </c>
      <c r="CE28" s="139">
        <f>IFERROR(IF($Z28&gt;$E$12,"",IF($E$5="Uniform Inputs",INDEX($D$45:$E$53,MATCH($CC$3,$B$45:$B$53,0),MATCH(CE$4,$D$44:$E$44,0)),IF(CJ28=0,"",CJ28))),"")</f>
        <v>200000000</v>
      </c>
      <c r="CF28" s="139">
        <f>IFERROR(IF($Z28&gt;$E$12,"",IF($E$5="Uniform Inputs",INDEX($D$45:$E$53,MATCH($CC$3,$B$45:$B$53,0),MATCH(CF$4,$D$44:$E$44,0)),IF(CK28=0,"",CK28))),"")</f>
        <v>2300000000</v>
      </c>
      <c r="CG28" s="10">
        <f t="shared" ca="1" si="17"/>
        <v>6.2321476410913054E-2</v>
      </c>
      <c r="CH28" s="11" t="s">
        <v>22</v>
      </c>
      <c r="CI28" s="168">
        <v>48536</v>
      </c>
      <c r="CJ28" s="11">
        <v>200000000</v>
      </c>
      <c r="CK28" s="11">
        <v>2300000000</v>
      </c>
      <c r="CL28" s="139" t="str">
        <f t="shared" si="32"/>
        <v/>
      </c>
      <c r="CM28" s="112">
        <f t="shared" si="18"/>
        <v>49083.5</v>
      </c>
      <c r="CN28" s="139">
        <f>IFERROR(IF($Z28&gt;$E$12,"",IF($E$5="Uniform Inputs",INDEX($D$45:$E$53,MATCH($CL$3,$B$45:$B$53,0),MATCH(CN$4,$D$44:$E$44,0)),IF(CS28=0,"",CS28))),"")</f>
        <v>275000000</v>
      </c>
      <c r="CO28" s="139">
        <f>IFERROR(IF($Z28&gt;$E$12,"",IF($E$5="Uniform Inputs",INDEX($D$45:$E$53,MATCH($CL$3,$B$45:$B$53,0),MATCH(CO$4,$D$44:$E$44,0)),IF(CT28=0,"",CT28))),"")</f>
        <v>3000000000</v>
      </c>
      <c r="CP28" s="10">
        <f t="shared" ca="1" si="19"/>
        <v>5.6608674406579358E-2</v>
      </c>
      <c r="CQ28" s="11" t="s">
        <v>22</v>
      </c>
      <c r="CR28" s="168">
        <v>49083.5</v>
      </c>
      <c r="CS28" s="11">
        <v>275000000</v>
      </c>
      <c r="CT28" s="11">
        <v>3000000000</v>
      </c>
      <c r="CU28" s="139" t="str">
        <f t="shared" si="33"/>
        <v/>
      </c>
      <c r="CV28" s="112">
        <f t="shared" si="20"/>
        <v>49631</v>
      </c>
      <c r="CW28" s="139" t="str">
        <f>IFERROR(IF($Z28&gt;$E$12,"",IF($E$5="Uniform Inputs",INDEX($D$45:$E$53,MATCH($CU$3,$B$45:$B$53,0),MATCH(CW$4,$D$44:$E$44,0)),IF(DB28=0,"",DB28))),"")</f>
        <v/>
      </c>
      <c r="CX28" s="139" t="str">
        <f>IFERROR(IF($Z28&gt;$E$12,"",IF($E$5="Uniform Inputs",INDEX($D$45:$E$53,MATCH($CU$3,$B$45:$B$53,0),MATCH(CX$4,$D$44:$E$44,0)),IF(DC28=0,"",DC28))),"")</f>
        <v/>
      </c>
      <c r="CY28" s="10" t="str">
        <f t="shared" ca="1" si="21"/>
        <v/>
      </c>
      <c r="CZ28" s="11" t="s">
        <v>22</v>
      </c>
      <c r="DA28" s="168">
        <v>49631</v>
      </c>
      <c r="DB28" s="11" t="s">
        <v>22</v>
      </c>
      <c r="DC28" s="11" t="s">
        <v>22</v>
      </c>
    </row>
    <row r="29" spans="2:107" x14ac:dyDescent="0.25">
      <c r="B29" s="44"/>
      <c r="D29" s="3"/>
      <c r="E29" s="47"/>
      <c r="G29" s="86" t="s">
        <v>131</v>
      </c>
      <c r="H29" s="86"/>
      <c r="I29" s="110">
        <f ca="1">(V5-SUM(V6,V7))/(U5-SUM(U6,U7))</f>
        <v>2.7174139972712532</v>
      </c>
      <c r="K29" s="6">
        <f t="shared" si="22"/>
        <v>24</v>
      </c>
      <c r="L29" s="32">
        <v>0</v>
      </c>
      <c r="M29" s="141" t="s">
        <v>7</v>
      </c>
      <c r="O29" s="6">
        <f t="shared" si="23"/>
        <v>24</v>
      </c>
      <c r="P29" s="35" t="str">
        <f t="shared" ca="1" si="0"/>
        <v>Seed</v>
      </c>
      <c r="Q29" s="102">
        <f t="shared" ca="1" si="1"/>
        <v>0.18181818181818182</v>
      </c>
      <c r="R29" s="102">
        <f t="shared" ca="1" si="2"/>
        <v>0.13636363636363638</v>
      </c>
      <c r="S29" s="112">
        <f t="shared" si="24"/>
        <v>45281</v>
      </c>
      <c r="T29" s="112">
        <f t="shared" ca="1" si="3"/>
        <v>46376</v>
      </c>
      <c r="U29" s="1">
        <f t="shared" ca="1" si="25"/>
        <v>2000000</v>
      </c>
      <c r="V29" s="1">
        <f t="shared" ca="1" si="4"/>
        <v>0</v>
      </c>
      <c r="W29" s="34">
        <f t="shared" ca="1" si="26"/>
        <v>0</v>
      </c>
      <c r="Y29" s="2">
        <v>24</v>
      </c>
      <c r="Z29" s="6">
        <f t="shared" si="27"/>
        <v>24</v>
      </c>
      <c r="AA29" s="139">
        <f ca="1">IF($E$5="Uniform Inputs",IF($Z29&gt;$E$12,"",MIN($E$21,($I$5+'Cash Flows'!$BX$8+INDEX('Cash Flows'!$C$19:$BW$19,1,MATCH(EOMONTH(AB29,MOD(-MONTH(AB29),3)-3),'Cash Flows'!$C$4:$BW$4,0)))/$E$12)),IF(AF29&gt;0,AF29,""))</f>
        <v>2000000</v>
      </c>
      <c r="AB29" s="112">
        <f t="shared" si="28"/>
        <v>45281</v>
      </c>
      <c r="AC29" s="139">
        <f>IFERROR(IF($Z29&gt;$E$12,"",IF($E$5="Uniform Inputs",INDEX($D$45:$E$53,MATCH($AA$3,$B$45:$B$53,0),MATCH(AC$4,$D$44:$E$44,0)),IF(AH29=0,"",AH29))),"")</f>
        <v>3000000</v>
      </c>
      <c r="AD29" s="139">
        <f>IFERROR(IF($Z29&gt;$E$12,"",IF($E$5="Uniform Inputs",INDEX($D$45:$E$53,MATCH($AA$3,$B$45:$B$53,0),MATCH(AD$4,$D$44:$E$44,0)),IF(AI29=0,"",AI29))),"")</f>
        <v>11000000</v>
      </c>
      <c r="AE29" s="10">
        <f t="shared" ca="1" si="29"/>
        <v>0.18181818181818182</v>
      </c>
      <c r="AF29" s="11">
        <v>2000000</v>
      </c>
      <c r="AG29" s="168">
        <v>45281</v>
      </c>
      <c r="AH29" s="11">
        <v>3000000</v>
      </c>
      <c r="AI29" s="11">
        <v>11000000</v>
      </c>
      <c r="AJ29" s="139" t="str">
        <f>IF($E$5="Uniform Inputs",IF($Z29&gt;$E$13,"",IF($E$23="Pro-Rata",MIN(AL29*AE29,(($I$5+'Cash Flows'!$BX$8+INDEX('Cash Flows'!$C$19:$BW$19,1,MATCH(EOMONTH(AK29,MOD(-MONTH(AK29),3)-3),'Cash Flows'!$C$4:$BW$4,0)))-$AA$5)/$E$13),MIN($E$24,(($I$5+'Cash Flows'!$BX$8+INDEX('Cash Flows'!$C$19:$BW$19,1,MATCH(EOMONTH(AK29,MOD(-MONTH(AK29),3)-3),'Cash Flows'!$C$4:$BW$4,0)))-$AA$5)/$E$13))),IF(AO29=0,"",AO29))</f>
        <v/>
      </c>
      <c r="AK29" s="112">
        <f t="shared" si="6"/>
        <v>45828.5</v>
      </c>
      <c r="AL29" s="139">
        <f>IFERROR(IF($Z29&gt;$E$12,"",IF($E$5="Uniform Inputs",INDEX($D$45:$E$53,MATCH($AJ$3,$B$45:$B$53,0),MATCH(AL$4,$D$44:$E$44,0)),IF(AQ29=0,"",AQ29))),"")</f>
        <v>12000000</v>
      </c>
      <c r="AM29" s="139">
        <f>IFERROR(IF($Z29&gt;$E$12,"",IF($E$5="Uniform Inputs",INDEX($D$45:$E$53,MATCH($AJ$3,$B$45:$B$53,0),MATCH(AM$4,$D$44:$E$44,0)),IF(AR29=0,"",AR29))),"")</f>
        <v>48000000</v>
      </c>
      <c r="AN29" s="10">
        <f t="shared" ca="1" si="7"/>
        <v>0.13636363636363638</v>
      </c>
      <c r="AO29" s="11" t="s">
        <v>22</v>
      </c>
      <c r="AP29" s="168">
        <v>45828.5</v>
      </c>
      <c r="AQ29" s="11">
        <v>12000000</v>
      </c>
      <c r="AR29" s="11">
        <v>48000000</v>
      </c>
      <c r="AS29" s="139" t="str">
        <f>IF($E$5="Uniform Inputs",IF($Z29&gt;$E$14,"",IF($E$23="Pro-Rata",MIN(AU29*AN29,(($I$5+'Cash Flows'!$BX$8+INDEX('Cash Flows'!$C$19:$BW$19,1,MATCH(EOMONTH(AT29,MOD(-MONTH(AT29),3)-3),'Cash Flows'!$C$4:$BW$4,0)))-SUM($AJ$5,$AA$5))/$E$14),MIN($E$25,(($I$5+'Cash Flows'!$BX$8+INDEX('Cash Flows'!$C$19:$BW$19,1,MATCH(EOMONTH(AT29,MOD(-MONTH(AT29),3)-3),'Cash Flows'!$C$4:$BW$4,0)))-SUM($AJ$5,$AA$5))/$E$14))),IF(AX29=0,"",AX29))</f>
        <v/>
      </c>
      <c r="AT29" s="112">
        <f t="shared" si="8"/>
        <v>46376</v>
      </c>
      <c r="AU29" s="139">
        <f>IFERROR(IF($Z29&gt;$E$12,"",IF($E$5="Uniform Inputs",INDEX($D$45:$E$53,MATCH($AS$3,$B$45:$B$53,0),MATCH(AU$4,$D$44:$E$44,0)),IF(AZ29=0,"",AZ29))),"")</f>
        <v>31000000</v>
      </c>
      <c r="AV29" s="139">
        <f>IFERROR(IF($Z29&gt;$E$12,"",IF($E$5="Uniform Inputs",INDEX($D$45:$E$53,MATCH($AS$3,$B$45:$B$53,0),MATCH(AV$4,$D$44:$E$44,0)),IF(BA29=0,"",BA29))),"")</f>
        <v>142000000</v>
      </c>
      <c r="AW29" s="10">
        <f t="shared" ca="1" si="9"/>
        <v>0.1065941101152369</v>
      </c>
      <c r="AX29" s="11" t="s">
        <v>22</v>
      </c>
      <c r="AY29" s="168">
        <v>46376</v>
      </c>
      <c r="AZ29" s="11">
        <v>31000000</v>
      </c>
      <c r="BA29" s="11">
        <v>142000000</v>
      </c>
      <c r="BB29" s="139" t="str">
        <f>IF($E$5="Uniform Inputs",IF($Z29&gt;$E$15,"",IF($E$23="Pro-Rata",MIN(BD29*AW29,(($I$5+'Cash Flows'!$BX$8+INDEX('Cash Flows'!$C$19:$BW$19,1,MATCH(EOMONTH(BC29,MOD(-MONTH(BC29),3)-3),'Cash Flows'!$C$4:$BW$4,0)))-SUM($AS$5,$AJ$5,$AA$5))/$E$15),MIN($E$26,(($I$5+'Cash Flows'!$BX$8+INDEX('Cash Flows'!$C$19:$BW$19,1,MATCH(EOMONTH(BC29,MOD(-MONTH(BC29),3)-3),'Cash Flows'!$C$4:$BW$4,0)))-SUM($AS$5,$AJ$5,$AA$5))/$E$15))),IF(BG29=0,"",BG29))</f>
        <v/>
      </c>
      <c r="BC29" s="112">
        <f t="shared" si="10"/>
        <v>46923.5</v>
      </c>
      <c r="BD29" s="139">
        <f>IFERROR(IF($Z29&gt;$E$12,"",IF($E$5="Uniform Inputs",INDEX($D$45:$E$53,MATCH($BB$3,$B$45:$B$53,0),MATCH(BD$4,$D$44:$E$44,0)),IF(BI29=0,"",BI29))),"")</f>
        <v>70000000</v>
      </c>
      <c r="BE29" s="139">
        <f>IFERROR(IF($Z29&gt;$E$12,"",IF($E$5="Uniform Inputs",INDEX($D$45:$E$53,MATCH($BB$3,$B$45:$B$53,0),MATCH(BE$4,$D$44:$E$44,0)),IF(BJ29=0,"",BJ29))),"")</f>
        <v>375000000</v>
      </c>
      <c r="BF29" s="10">
        <f t="shared" ca="1" si="11"/>
        <v>8.6696542893726011E-2</v>
      </c>
      <c r="BG29" s="11" t="s">
        <v>22</v>
      </c>
      <c r="BH29" s="168">
        <v>46923.5</v>
      </c>
      <c r="BI29" s="11">
        <v>70000000</v>
      </c>
      <c r="BJ29" s="11">
        <v>375000000</v>
      </c>
      <c r="BK29" s="139" t="str">
        <f>IF($E$5="Uniform Inputs",IF($Z29&gt;$E$16,"",IF($E$23="Pro-Rata",MIN(BM29*BF29,(($I$5+'Cash Flows'!$BX$8+INDEX('Cash Flows'!$C$19:$BW$19,1,MATCH(EOMONTH(BL29,MOD(-MONTH(BL29),3)-3),'Cash Flows'!$C$4:$BW$4,0)))-SUM($BB$5,$AS$5,$AJ$5,$AA$5))/$E$16),MIN($E$27,(($I$5+'Cash Flows'!$BX$8+INDEX('Cash Flows'!$C$19:$BW$19,1,MATCH(EOMONTH(BL29,MOD(-MONTH(BL29),3)-3),'Cash Flows'!$C$4:$BW$4,0)))-SUM($BB$5,$AS$5,$AJ$5,$AA$5))/$E$16))),IF(BP29=0,"",BP29))</f>
        <v/>
      </c>
      <c r="BL29" s="112">
        <f t="shared" si="12"/>
        <v>47471</v>
      </c>
      <c r="BM29" s="139">
        <f>IFERROR(IF($Z29&gt;$E$12,"",IF($E$5="Uniform Inputs",INDEX($D$45:$E$53,MATCH($BK$3,$B$45:$B$53,0),MATCH(BM$4,$D$44:$E$44,0)),IF(BR29=0,"",BR29))),"")</f>
        <v>110000000</v>
      </c>
      <c r="BN29" s="139">
        <f>IFERROR(IF($Z29&gt;$E$12,"",IF($E$5="Uniform Inputs",INDEX($D$45:$E$53,MATCH($BK$3,$B$45:$B$53,0),MATCH(BN$4,$D$44:$E$44,0)),IF(BS29=0,"",BS29))),"")</f>
        <v>1000000000</v>
      </c>
      <c r="BO29" s="10">
        <f t="shared" ca="1" si="13"/>
        <v>7.7159923175416159E-2</v>
      </c>
      <c r="BP29" s="11" t="s">
        <v>22</v>
      </c>
      <c r="BQ29" s="168">
        <v>47471</v>
      </c>
      <c r="BR29" s="11">
        <v>110000000</v>
      </c>
      <c r="BS29" s="11">
        <v>1000000000</v>
      </c>
      <c r="BT29" s="139" t="str">
        <f t="shared" si="30"/>
        <v/>
      </c>
      <c r="BU29" s="112">
        <f t="shared" si="14"/>
        <v>48018.5</v>
      </c>
      <c r="BV29" s="139">
        <f>IFERROR(IF($Z29&gt;$E$12,"",IF($E$5="Uniform Inputs",INDEX($D$45:$E$53,MATCH($BT$3,$B$45:$B$53,0),MATCH(BV$4,$D$44:$E$44,0)),IF(CA29=0,"",CA29))),"")</f>
        <v>150000000</v>
      </c>
      <c r="BW29" s="139">
        <f>IFERROR(IF($Z29&gt;$E$12,"",IF($E$5="Uniform Inputs",INDEX($D$45:$E$53,MATCH($BT$3,$B$45:$B$53,0),MATCH(BW$4,$D$44:$E$44,0)),IF(CB29=0,"",CB29))),"")</f>
        <v>1300000000</v>
      </c>
      <c r="BX29" s="10">
        <f t="shared" ca="1" si="15"/>
        <v>6.8256855116714296E-2</v>
      </c>
      <c r="BY29" s="11" t="s">
        <v>22</v>
      </c>
      <c r="BZ29" s="168">
        <v>48018.5</v>
      </c>
      <c r="CA29" s="11">
        <v>150000000</v>
      </c>
      <c r="CB29" s="11">
        <v>1300000000</v>
      </c>
      <c r="CC29" s="139" t="str">
        <f t="shared" si="31"/>
        <v/>
      </c>
      <c r="CD29" s="112">
        <f t="shared" si="16"/>
        <v>48566</v>
      </c>
      <c r="CE29" s="139">
        <f>IFERROR(IF($Z29&gt;$E$12,"",IF($E$5="Uniform Inputs",INDEX($D$45:$E$53,MATCH($CC$3,$B$45:$B$53,0),MATCH(CE$4,$D$44:$E$44,0)),IF(CJ29=0,"",CJ29))),"")</f>
        <v>200000000</v>
      </c>
      <c r="CF29" s="139">
        <f>IFERROR(IF($Z29&gt;$E$12,"",IF($E$5="Uniform Inputs",INDEX($D$45:$E$53,MATCH($CC$3,$B$45:$B$53,0),MATCH(CF$4,$D$44:$E$44,0)),IF(CK29=0,"",CK29))),"")</f>
        <v>2300000000</v>
      </c>
      <c r="CG29" s="10">
        <f t="shared" ca="1" si="17"/>
        <v>6.2321476410913054E-2</v>
      </c>
      <c r="CH29" s="11" t="s">
        <v>22</v>
      </c>
      <c r="CI29" s="168">
        <v>48566</v>
      </c>
      <c r="CJ29" s="11">
        <v>200000000</v>
      </c>
      <c r="CK29" s="11">
        <v>2300000000</v>
      </c>
      <c r="CL29" s="139" t="str">
        <f t="shared" si="32"/>
        <v/>
      </c>
      <c r="CM29" s="112">
        <f t="shared" si="18"/>
        <v>49113.5</v>
      </c>
      <c r="CN29" s="139">
        <f>IFERROR(IF($Z29&gt;$E$12,"",IF($E$5="Uniform Inputs",INDEX($D$45:$E$53,MATCH($CL$3,$B$45:$B$53,0),MATCH(CN$4,$D$44:$E$44,0)),IF(CS29=0,"",CS29))),"")</f>
        <v>275000000</v>
      </c>
      <c r="CO29" s="139">
        <f>IFERROR(IF($Z29&gt;$E$12,"",IF($E$5="Uniform Inputs",INDEX($D$45:$E$53,MATCH($CL$3,$B$45:$B$53,0),MATCH(CO$4,$D$44:$E$44,0)),IF(CT29=0,"",CT29))),"")</f>
        <v>3000000000</v>
      </c>
      <c r="CP29" s="10">
        <f t="shared" ca="1" si="19"/>
        <v>5.6608674406579358E-2</v>
      </c>
      <c r="CQ29" s="11" t="s">
        <v>22</v>
      </c>
      <c r="CR29" s="168">
        <v>49113.5</v>
      </c>
      <c r="CS29" s="11">
        <v>275000000</v>
      </c>
      <c r="CT29" s="11">
        <v>3000000000</v>
      </c>
      <c r="CU29" s="139" t="str">
        <f t="shared" si="33"/>
        <v/>
      </c>
      <c r="CV29" s="112">
        <f t="shared" si="20"/>
        <v>49661</v>
      </c>
      <c r="CW29" s="139" t="str">
        <f>IFERROR(IF($Z29&gt;$E$12,"",IF($E$5="Uniform Inputs",INDEX($D$45:$E$53,MATCH($CU$3,$B$45:$B$53,0),MATCH(CW$4,$D$44:$E$44,0)),IF(DB29=0,"",DB29))),"")</f>
        <v/>
      </c>
      <c r="CX29" s="139" t="str">
        <f>IFERROR(IF($Z29&gt;$E$12,"",IF($E$5="Uniform Inputs",INDEX($D$45:$E$53,MATCH($CU$3,$B$45:$B$53,0),MATCH(CX$4,$D$44:$E$44,0)),IF(DC29=0,"",DC29))),"")</f>
        <v/>
      </c>
      <c r="CY29" s="10" t="str">
        <f t="shared" ca="1" si="21"/>
        <v/>
      </c>
      <c r="CZ29" s="11" t="s">
        <v>22</v>
      </c>
      <c r="DA29" s="168">
        <v>49661</v>
      </c>
      <c r="DB29" s="11" t="s">
        <v>22</v>
      </c>
      <c r="DC29" s="11" t="s">
        <v>22</v>
      </c>
    </row>
    <row r="30" spans="2:107" x14ac:dyDescent="0.25">
      <c r="G30" s="86" t="s">
        <v>132</v>
      </c>
      <c r="H30" s="86"/>
      <c r="I30" s="110">
        <f ca="1">(V5-SUM(V6,V7,V8))/(U5-SUM(U6,U7,U8))</f>
        <v>2.1175054139666658</v>
      </c>
      <c r="K30" s="6">
        <f t="shared" si="22"/>
        <v>25</v>
      </c>
      <c r="L30" s="32">
        <v>0</v>
      </c>
      <c r="M30" s="141" t="s">
        <v>7</v>
      </c>
      <c r="O30" s="6">
        <f t="shared" si="23"/>
        <v>25</v>
      </c>
      <c r="P30" s="35" t="str">
        <f t="shared" ca="1" si="0"/>
        <v>Seed</v>
      </c>
      <c r="Q30" s="102">
        <f t="shared" ca="1" si="1"/>
        <v>0.18181818181818182</v>
      </c>
      <c r="R30" s="102">
        <f t="shared" ca="1" si="2"/>
        <v>0.13636363636363638</v>
      </c>
      <c r="S30" s="112">
        <f t="shared" si="24"/>
        <v>45311</v>
      </c>
      <c r="T30" s="112">
        <f t="shared" ca="1" si="3"/>
        <v>46406</v>
      </c>
      <c r="U30" s="1">
        <f t="shared" ca="1" si="25"/>
        <v>2000000</v>
      </c>
      <c r="V30" s="1">
        <f t="shared" ca="1" si="4"/>
        <v>0</v>
      </c>
      <c r="W30" s="34">
        <f t="shared" ca="1" si="26"/>
        <v>0</v>
      </c>
      <c r="Y30" s="2">
        <v>25</v>
      </c>
      <c r="Z30" s="6">
        <f t="shared" si="27"/>
        <v>25</v>
      </c>
      <c r="AA30" s="139">
        <f ca="1">IF($E$5="Uniform Inputs",IF($Z30&gt;$E$12,"",MIN($E$21,($I$5+'Cash Flows'!$BX$8+INDEX('Cash Flows'!$C$19:$BW$19,1,MATCH(EOMONTH(AB30,MOD(-MONTH(AB30),3)-3),'Cash Flows'!$C$4:$BW$4,0)))/$E$12)),IF(AF30&gt;0,AF30,""))</f>
        <v>2000000</v>
      </c>
      <c r="AB30" s="112">
        <f t="shared" si="28"/>
        <v>45311</v>
      </c>
      <c r="AC30" s="139">
        <f>IFERROR(IF($Z30&gt;$E$12,"",IF($E$5="Uniform Inputs",INDEX($D$45:$E$53,MATCH($AA$3,$B$45:$B$53,0),MATCH(AC$4,$D$44:$E$44,0)),IF(AH30=0,"",AH30))),"")</f>
        <v>3000000</v>
      </c>
      <c r="AD30" s="139">
        <f>IFERROR(IF($Z30&gt;$E$12,"",IF($E$5="Uniform Inputs",INDEX($D$45:$E$53,MATCH($AA$3,$B$45:$B$53,0),MATCH(AD$4,$D$44:$E$44,0)),IF(AI30=0,"",AI30))),"")</f>
        <v>11000000</v>
      </c>
      <c r="AE30" s="10">
        <f t="shared" ca="1" si="29"/>
        <v>0.18181818181818182</v>
      </c>
      <c r="AF30" s="11">
        <v>2000000</v>
      </c>
      <c r="AG30" s="168">
        <v>45311</v>
      </c>
      <c r="AH30" s="11">
        <v>3000000</v>
      </c>
      <c r="AI30" s="11">
        <v>11000000</v>
      </c>
      <c r="AJ30" s="139" t="str">
        <f>IF($E$5="Uniform Inputs",IF($Z30&gt;$E$13,"",IF($E$23="Pro-Rata",MIN(AL30*AE30,(($I$5+'Cash Flows'!$BX$8+INDEX('Cash Flows'!$C$19:$BW$19,1,MATCH(EOMONTH(AK30,MOD(-MONTH(AK30),3)-3),'Cash Flows'!$C$4:$BW$4,0)))-$AA$5)/$E$13),MIN($E$24,(($I$5+'Cash Flows'!$BX$8+INDEX('Cash Flows'!$C$19:$BW$19,1,MATCH(EOMONTH(AK30,MOD(-MONTH(AK30),3)-3),'Cash Flows'!$C$4:$BW$4,0)))-$AA$5)/$E$13))),IF(AO30=0,"",AO30))</f>
        <v/>
      </c>
      <c r="AK30" s="112">
        <f t="shared" si="6"/>
        <v>45858.5</v>
      </c>
      <c r="AL30" s="139">
        <f>IFERROR(IF($Z30&gt;$E$12,"",IF($E$5="Uniform Inputs",INDEX($D$45:$E$53,MATCH($AJ$3,$B$45:$B$53,0),MATCH(AL$4,$D$44:$E$44,0)),IF(AQ30=0,"",AQ30))),"")</f>
        <v>12000000</v>
      </c>
      <c r="AM30" s="139">
        <f>IFERROR(IF($Z30&gt;$E$12,"",IF($E$5="Uniform Inputs",INDEX($D$45:$E$53,MATCH($AJ$3,$B$45:$B$53,0),MATCH(AM$4,$D$44:$E$44,0)),IF(AR30=0,"",AR30))),"")</f>
        <v>48000000</v>
      </c>
      <c r="AN30" s="10">
        <f t="shared" ca="1" si="7"/>
        <v>0.13636363636363638</v>
      </c>
      <c r="AO30" s="11" t="s">
        <v>22</v>
      </c>
      <c r="AP30" s="168">
        <v>45858.5</v>
      </c>
      <c r="AQ30" s="11">
        <v>12000000</v>
      </c>
      <c r="AR30" s="11">
        <v>48000000</v>
      </c>
      <c r="AS30" s="139" t="str">
        <f>IF($E$5="Uniform Inputs",IF($Z30&gt;$E$14,"",IF($E$23="Pro-Rata",MIN(AU30*AN30,(($I$5+'Cash Flows'!$BX$8+INDEX('Cash Flows'!$C$19:$BW$19,1,MATCH(EOMONTH(AT30,MOD(-MONTH(AT30),3)-3),'Cash Flows'!$C$4:$BW$4,0)))-SUM($AJ$5,$AA$5))/$E$14),MIN($E$25,(($I$5+'Cash Flows'!$BX$8+INDEX('Cash Flows'!$C$19:$BW$19,1,MATCH(EOMONTH(AT30,MOD(-MONTH(AT30),3)-3),'Cash Flows'!$C$4:$BW$4,0)))-SUM($AJ$5,$AA$5))/$E$14))),IF(AX30=0,"",AX30))</f>
        <v/>
      </c>
      <c r="AT30" s="112">
        <f t="shared" si="8"/>
        <v>46406</v>
      </c>
      <c r="AU30" s="139">
        <f>IFERROR(IF($Z30&gt;$E$12,"",IF($E$5="Uniform Inputs",INDEX($D$45:$E$53,MATCH($AS$3,$B$45:$B$53,0),MATCH(AU$4,$D$44:$E$44,0)),IF(AZ30=0,"",AZ30))),"")</f>
        <v>31000000</v>
      </c>
      <c r="AV30" s="139">
        <f>IFERROR(IF($Z30&gt;$E$12,"",IF($E$5="Uniform Inputs",INDEX($D$45:$E$53,MATCH($AS$3,$B$45:$B$53,0),MATCH(AV$4,$D$44:$E$44,0)),IF(BA30=0,"",BA30))),"")</f>
        <v>142000000</v>
      </c>
      <c r="AW30" s="10">
        <f t="shared" ca="1" si="9"/>
        <v>0.1065941101152369</v>
      </c>
      <c r="AX30" s="11" t="s">
        <v>22</v>
      </c>
      <c r="AY30" s="168">
        <v>46406</v>
      </c>
      <c r="AZ30" s="11">
        <v>31000000</v>
      </c>
      <c r="BA30" s="11">
        <v>142000000</v>
      </c>
      <c r="BB30" s="139" t="str">
        <f>IF($E$5="Uniform Inputs",IF($Z30&gt;$E$15,"",IF($E$23="Pro-Rata",MIN(BD30*AW30,(($I$5+'Cash Flows'!$BX$8+INDEX('Cash Flows'!$C$19:$BW$19,1,MATCH(EOMONTH(BC30,MOD(-MONTH(BC30),3)-3),'Cash Flows'!$C$4:$BW$4,0)))-SUM($AS$5,$AJ$5,$AA$5))/$E$15),MIN($E$26,(($I$5+'Cash Flows'!$BX$8+INDEX('Cash Flows'!$C$19:$BW$19,1,MATCH(EOMONTH(BC30,MOD(-MONTH(BC30),3)-3),'Cash Flows'!$C$4:$BW$4,0)))-SUM($AS$5,$AJ$5,$AA$5))/$E$15))),IF(BG30=0,"",BG30))</f>
        <v/>
      </c>
      <c r="BC30" s="112">
        <f t="shared" si="10"/>
        <v>46953.5</v>
      </c>
      <c r="BD30" s="139">
        <f>IFERROR(IF($Z30&gt;$E$12,"",IF($E$5="Uniform Inputs",INDEX($D$45:$E$53,MATCH($BB$3,$B$45:$B$53,0),MATCH(BD$4,$D$44:$E$44,0)),IF(BI30=0,"",BI30))),"")</f>
        <v>70000000</v>
      </c>
      <c r="BE30" s="139">
        <f>IFERROR(IF($Z30&gt;$E$12,"",IF($E$5="Uniform Inputs",INDEX($D$45:$E$53,MATCH($BB$3,$B$45:$B$53,0),MATCH(BE$4,$D$44:$E$44,0)),IF(BJ30=0,"",BJ30))),"")</f>
        <v>375000000</v>
      </c>
      <c r="BF30" s="10">
        <f t="shared" ca="1" si="11"/>
        <v>8.6696542893726011E-2</v>
      </c>
      <c r="BG30" s="11" t="s">
        <v>22</v>
      </c>
      <c r="BH30" s="168">
        <v>46953.5</v>
      </c>
      <c r="BI30" s="11">
        <v>70000000</v>
      </c>
      <c r="BJ30" s="11">
        <v>375000000</v>
      </c>
      <c r="BK30" s="139" t="str">
        <f>IF($E$5="Uniform Inputs",IF($Z30&gt;$E$16,"",IF($E$23="Pro-Rata",MIN(BM30*BF30,(($I$5+'Cash Flows'!$BX$8+INDEX('Cash Flows'!$C$19:$BW$19,1,MATCH(EOMONTH(BL30,MOD(-MONTH(BL30),3)-3),'Cash Flows'!$C$4:$BW$4,0)))-SUM($BB$5,$AS$5,$AJ$5,$AA$5))/$E$16),MIN($E$27,(($I$5+'Cash Flows'!$BX$8+INDEX('Cash Flows'!$C$19:$BW$19,1,MATCH(EOMONTH(BL30,MOD(-MONTH(BL30),3)-3),'Cash Flows'!$C$4:$BW$4,0)))-SUM($BB$5,$AS$5,$AJ$5,$AA$5))/$E$16))),IF(BP30=0,"",BP30))</f>
        <v/>
      </c>
      <c r="BL30" s="112">
        <f t="shared" si="12"/>
        <v>47501</v>
      </c>
      <c r="BM30" s="139">
        <f>IFERROR(IF($Z30&gt;$E$12,"",IF($E$5="Uniform Inputs",INDEX($D$45:$E$53,MATCH($BK$3,$B$45:$B$53,0),MATCH(BM$4,$D$44:$E$44,0)),IF(BR30=0,"",BR30))),"")</f>
        <v>110000000</v>
      </c>
      <c r="BN30" s="139">
        <f>IFERROR(IF($Z30&gt;$E$12,"",IF($E$5="Uniform Inputs",INDEX($D$45:$E$53,MATCH($BK$3,$B$45:$B$53,0),MATCH(BN$4,$D$44:$E$44,0)),IF(BS30=0,"",BS30))),"")</f>
        <v>1000000000</v>
      </c>
      <c r="BO30" s="10">
        <f t="shared" ca="1" si="13"/>
        <v>7.7159923175416159E-2</v>
      </c>
      <c r="BP30" s="11" t="s">
        <v>22</v>
      </c>
      <c r="BQ30" s="168">
        <v>47501</v>
      </c>
      <c r="BR30" s="11">
        <v>110000000</v>
      </c>
      <c r="BS30" s="11">
        <v>1000000000</v>
      </c>
      <c r="BT30" s="139" t="str">
        <f t="shared" si="30"/>
        <v/>
      </c>
      <c r="BU30" s="112">
        <f t="shared" si="14"/>
        <v>48048.5</v>
      </c>
      <c r="BV30" s="139">
        <f>IFERROR(IF($Z30&gt;$E$12,"",IF($E$5="Uniform Inputs",INDEX($D$45:$E$53,MATCH($BT$3,$B$45:$B$53,0),MATCH(BV$4,$D$44:$E$44,0)),IF(CA30=0,"",CA30))),"")</f>
        <v>150000000</v>
      </c>
      <c r="BW30" s="139">
        <f>IFERROR(IF($Z30&gt;$E$12,"",IF($E$5="Uniform Inputs",INDEX($D$45:$E$53,MATCH($BT$3,$B$45:$B$53,0),MATCH(BW$4,$D$44:$E$44,0)),IF(CB30=0,"",CB30))),"")</f>
        <v>1300000000</v>
      </c>
      <c r="BX30" s="10">
        <f t="shared" ca="1" si="15"/>
        <v>6.8256855116714296E-2</v>
      </c>
      <c r="BY30" s="11" t="s">
        <v>22</v>
      </c>
      <c r="BZ30" s="168">
        <v>48048.5</v>
      </c>
      <c r="CA30" s="11">
        <v>150000000</v>
      </c>
      <c r="CB30" s="11">
        <v>1300000000</v>
      </c>
      <c r="CC30" s="139" t="str">
        <f t="shared" si="31"/>
        <v/>
      </c>
      <c r="CD30" s="112">
        <f t="shared" si="16"/>
        <v>48596</v>
      </c>
      <c r="CE30" s="139">
        <f>IFERROR(IF($Z30&gt;$E$12,"",IF($E$5="Uniform Inputs",INDEX($D$45:$E$53,MATCH($CC$3,$B$45:$B$53,0),MATCH(CE$4,$D$44:$E$44,0)),IF(CJ30=0,"",CJ30))),"")</f>
        <v>200000000</v>
      </c>
      <c r="CF30" s="139">
        <f>IFERROR(IF($Z30&gt;$E$12,"",IF($E$5="Uniform Inputs",INDEX($D$45:$E$53,MATCH($CC$3,$B$45:$B$53,0),MATCH(CF$4,$D$44:$E$44,0)),IF(CK30=0,"",CK30))),"")</f>
        <v>2300000000</v>
      </c>
      <c r="CG30" s="10">
        <f t="shared" ca="1" si="17"/>
        <v>6.2321476410913054E-2</v>
      </c>
      <c r="CH30" s="11" t="s">
        <v>22</v>
      </c>
      <c r="CI30" s="168">
        <v>48596</v>
      </c>
      <c r="CJ30" s="11">
        <v>200000000</v>
      </c>
      <c r="CK30" s="11">
        <v>2300000000</v>
      </c>
      <c r="CL30" s="139" t="str">
        <f t="shared" si="32"/>
        <v/>
      </c>
      <c r="CM30" s="112">
        <f t="shared" si="18"/>
        <v>49143.5</v>
      </c>
      <c r="CN30" s="139">
        <f>IFERROR(IF($Z30&gt;$E$12,"",IF($E$5="Uniform Inputs",INDEX($D$45:$E$53,MATCH($CL$3,$B$45:$B$53,0),MATCH(CN$4,$D$44:$E$44,0)),IF(CS30=0,"",CS30))),"")</f>
        <v>275000000</v>
      </c>
      <c r="CO30" s="139">
        <f>IFERROR(IF($Z30&gt;$E$12,"",IF($E$5="Uniform Inputs",INDEX($D$45:$E$53,MATCH($CL$3,$B$45:$B$53,0),MATCH(CO$4,$D$44:$E$44,0)),IF(CT30=0,"",CT30))),"")</f>
        <v>3000000000</v>
      </c>
      <c r="CP30" s="10">
        <f t="shared" ca="1" si="19"/>
        <v>5.6608674406579358E-2</v>
      </c>
      <c r="CQ30" s="11" t="s">
        <v>22</v>
      </c>
      <c r="CR30" s="168">
        <v>49143.5</v>
      </c>
      <c r="CS30" s="11">
        <v>275000000</v>
      </c>
      <c r="CT30" s="11">
        <v>3000000000</v>
      </c>
      <c r="CU30" s="139" t="str">
        <f t="shared" si="33"/>
        <v/>
      </c>
      <c r="CV30" s="112">
        <f t="shared" si="20"/>
        <v>49691</v>
      </c>
      <c r="CW30" s="139" t="str">
        <f>IFERROR(IF($Z30&gt;$E$12,"",IF($E$5="Uniform Inputs",INDEX($D$45:$E$53,MATCH($CU$3,$B$45:$B$53,0),MATCH(CW$4,$D$44:$E$44,0)),IF(DB30=0,"",DB30))),"")</f>
        <v/>
      </c>
      <c r="CX30" s="139" t="str">
        <f>IFERROR(IF($Z30&gt;$E$12,"",IF($E$5="Uniform Inputs",INDEX($D$45:$E$53,MATCH($CU$3,$B$45:$B$53,0),MATCH(CX$4,$D$44:$E$44,0)),IF(DC30=0,"",DC30))),"")</f>
        <v/>
      </c>
      <c r="CY30" s="10" t="str">
        <f t="shared" ca="1" si="21"/>
        <v/>
      </c>
      <c r="CZ30" s="11" t="s">
        <v>22</v>
      </c>
      <c r="DA30" s="168">
        <v>49691</v>
      </c>
      <c r="DB30" s="11" t="s">
        <v>22</v>
      </c>
      <c r="DC30" s="11" t="s">
        <v>22</v>
      </c>
    </row>
    <row r="31" spans="2:107" x14ac:dyDescent="0.25">
      <c r="B31" s="148" t="s">
        <v>137</v>
      </c>
      <c r="C31" s="143"/>
      <c r="D31" s="143"/>
      <c r="E31" s="144"/>
      <c r="K31" s="6" t="str">
        <f t="shared" si="22"/>
        <v/>
      </c>
      <c r="L31" s="32"/>
      <c r="M31" s="33"/>
      <c r="O31" s="6" t="str">
        <f t="shared" si="23"/>
        <v/>
      </c>
      <c r="P31" s="35" t="str">
        <f t="shared" si="0"/>
        <v/>
      </c>
      <c r="Q31" s="102" t="str">
        <f t="shared" si="1"/>
        <v/>
      </c>
      <c r="R31" s="102" t="str">
        <f t="shared" ca="1" si="2"/>
        <v/>
      </c>
      <c r="S31" s="112" t="str">
        <f t="shared" si="24"/>
        <v/>
      </c>
      <c r="T31" s="112" t="str">
        <f t="shared" ca="1" si="3"/>
        <v/>
      </c>
      <c r="U31" s="1" t="str">
        <f t="shared" si="25"/>
        <v/>
      </c>
      <c r="V31" s="1" t="str">
        <f t="shared" ca="1" si="4"/>
        <v/>
      </c>
      <c r="W31" s="34" t="str">
        <f t="shared" ca="1" si="26"/>
        <v/>
      </c>
      <c r="Y31" s="2">
        <v>26</v>
      </c>
      <c r="Z31" s="6" t="str">
        <f t="shared" si="27"/>
        <v/>
      </c>
      <c r="AA31" s="139" t="str">
        <f>IF($E$5="Uniform Inputs",IF($Z31&gt;$E$12,"",MIN($E$21,($I$5+'Cash Flows'!$BX$8+INDEX('Cash Flows'!$C$19:$BW$19,1,MATCH(EOMONTH(AB31,MOD(-MONTH(AB31),3)-3),'Cash Flows'!$C$4:$BW$4,0)))/$E$12)),IF(AF31&gt;0,AF31,""))</f>
        <v/>
      </c>
      <c r="AB31" s="112" t="str">
        <f t="shared" si="28"/>
        <v/>
      </c>
      <c r="AC31" s="139" t="str">
        <f>IFERROR(IF($Z31&gt;$E$12,"",IF($E$5="Uniform Inputs",INDEX($D$45:$E$53,MATCH($AA$3,$B$45:$B$53,0),MATCH(AC$4,$D$44:$E$44,0)),IF(AH31=0,"",AH31))),"")</f>
        <v/>
      </c>
      <c r="AD31" s="139" t="str">
        <f>IFERROR(IF($Z31&gt;$E$12,"",IF($E$5="Uniform Inputs",INDEX($D$45:$E$53,MATCH($AA$3,$B$45:$B$53,0),MATCH(AD$4,$D$44:$E$44,0)),IF(AI31=0,"",AI31))),"")</f>
        <v/>
      </c>
      <c r="AE31" s="10" t="str">
        <f t="shared" si="29"/>
        <v/>
      </c>
      <c r="AF31" s="11" t="s">
        <v>22</v>
      </c>
      <c r="AG31" s="168" t="s">
        <v>22</v>
      </c>
      <c r="AH31" s="11" t="s">
        <v>22</v>
      </c>
      <c r="AI31" s="11" t="s">
        <v>22</v>
      </c>
      <c r="AJ31" s="139" t="str">
        <f>IF($E$5="Uniform Inputs",IF($Z31&gt;$E$13,"",IF($E$23="Pro-Rata",MIN(AL31*AE31,(($I$5+'Cash Flows'!$BX$8+INDEX('Cash Flows'!$C$19:$BW$19,1,MATCH(EOMONTH(AK31,MOD(-MONTH(AK31),3)-3),'Cash Flows'!$C$4:$BW$4,0)))-$AA$5)/$E$13),MIN($E$24,(($I$5+'Cash Flows'!$BX$8+INDEX('Cash Flows'!$C$19:$BW$19,1,MATCH(EOMONTH(AK31,MOD(-MONTH(AK31),3)-3),'Cash Flows'!$C$4:$BW$4,0)))-$AA$5)/$E$13))),IF(AO31=0,"",AO31))</f>
        <v/>
      </c>
      <c r="AK31" s="112" t="str">
        <f t="shared" si="6"/>
        <v/>
      </c>
      <c r="AL31" s="139" t="str">
        <f>IFERROR(IF($Z31&gt;$E$12,"",IF($E$5="Uniform Inputs",INDEX($D$45:$E$53,MATCH($AJ$3,$B$45:$B$53,0),MATCH(AL$4,$D$44:$E$44,0)),IF(AQ31=0,"",AQ31))),"")</f>
        <v/>
      </c>
      <c r="AM31" s="139" t="str">
        <f>IFERROR(IF($Z31&gt;$E$12,"",IF($E$5="Uniform Inputs",INDEX($D$45:$E$53,MATCH($AJ$3,$B$45:$B$53,0),MATCH(AM$4,$D$44:$E$44,0)),IF(AR31=0,"",AR31))),"")</f>
        <v/>
      </c>
      <c r="AN31" s="10" t="str">
        <f t="shared" si="7"/>
        <v/>
      </c>
      <c r="AO31" s="11" t="s">
        <v>22</v>
      </c>
      <c r="AP31" s="168" t="s">
        <v>22</v>
      </c>
      <c r="AQ31" s="11" t="s">
        <v>22</v>
      </c>
      <c r="AR31" s="11" t="s">
        <v>22</v>
      </c>
      <c r="AS31" s="139" t="str">
        <f>IF($E$5="Uniform Inputs",IF($Z31&gt;$E$14,"",IF($E$23="Pro-Rata",MIN(AU31*AN31,(($I$5+'Cash Flows'!$BX$8+INDEX('Cash Flows'!$C$19:$BW$19,1,MATCH(EOMONTH(AT31,MOD(-MONTH(AT31),3)-3),'Cash Flows'!$C$4:$BW$4,0)))-SUM($AJ$5,$AA$5))/$E$14),MIN($E$25,(($I$5+'Cash Flows'!$BX$8+INDEX('Cash Flows'!$C$19:$BW$19,1,MATCH(EOMONTH(AT31,MOD(-MONTH(AT31),3)-3),'Cash Flows'!$C$4:$BW$4,0)))-SUM($AJ$5,$AA$5))/$E$14))),IF(AX31=0,"",AX31))</f>
        <v/>
      </c>
      <c r="AT31" s="112" t="str">
        <f t="shared" si="8"/>
        <v/>
      </c>
      <c r="AU31" s="139" t="str">
        <f>IFERROR(IF($Z31&gt;$E$12,"",IF($E$5="Uniform Inputs",INDEX($D$45:$E$53,MATCH($AS$3,$B$45:$B$53,0),MATCH(AU$4,$D$44:$E$44,0)),IF(AZ31=0,"",AZ31))),"")</f>
        <v/>
      </c>
      <c r="AV31" s="139" t="str">
        <f>IFERROR(IF($Z31&gt;$E$12,"",IF($E$5="Uniform Inputs",INDEX($D$45:$E$53,MATCH($AS$3,$B$45:$B$53,0),MATCH(AV$4,$D$44:$E$44,0)),IF(BA31=0,"",BA31))),"")</f>
        <v/>
      </c>
      <c r="AW31" s="10" t="str">
        <f t="shared" si="9"/>
        <v/>
      </c>
      <c r="AX31" s="11" t="s">
        <v>22</v>
      </c>
      <c r="AY31" s="168" t="s">
        <v>22</v>
      </c>
      <c r="AZ31" s="11" t="s">
        <v>22</v>
      </c>
      <c r="BA31" s="11" t="s">
        <v>22</v>
      </c>
      <c r="BB31" s="139" t="str">
        <f>IF($E$5="Uniform Inputs",IF($Z31&gt;$E$15,"",IF($E$23="Pro-Rata",MIN(BD31*AW31,(($I$5+'Cash Flows'!$BX$8+INDEX('Cash Flows'!$C$19:$BW$19,1,MATCH(EOMONTH(BC31,MOD(-MONTH(BC31),3)-3),'Cash Flows'!$C$4:$BW$4,0)))-SUM($AS$5,$AJ$5,$AA$5))/$E$15),MIN($E$26,(($I$5+'Cash Flows'!$BX$8+INDEX('Cash Flows'!$C$19:$BW$19,1,MATCH(EOMONTH(BC31,MOD(-MONTH(BC31),3)-3),'Cash Flows'!$C$4:$BW$4,0)))-SUM($AS$5,$AJ$5,$AA$5))/$E$15))),IF(BG31=0,"",BG31))</f>
        <v/>
      </c>
      <c r="BC31" s="112" t="str">
        <f t="shared" si="10"/>
        <v/>
      </c>
      <c r="BD31" s="139" t="str">
        <f>IFERROR(IF($Z31&gt;$E$12,"",IF($E$5="Uniform Inputs",INDEX($D$45:$E$53,MATCH($BB$3,$B$45:$B$53,0),MATCH(BD$4,$D$44:$E$44,0)),IF(BI31=0,"",BI31))),"")</f>
        <v/>
      </c>
      <c r="BE31" s="139" t="str">
        <f>IFERROR(IF($Z31&gt;$E$12,"",IF($E$5="Uniform Inputs",INDEX($D$45:$E$53,MATCH($BB$3,$B$45:$B$53,0),MATCH(BE$4,$D$44:$E$44,0)),IF(BJ31=0,"",BJ31))),"")</f>
        <v/>
      </c>
      <c r="BF31" s="10" t="str">
        <f t="shared" si="11"/>
        <v/>
      </c>
      <c r="BG31" s="11" t="s">
        <v>22</v>
      </c>
      <c r="BH31" s="168" t="s">
        <v>22</v>
      </c>
      <c r="BI31" s="11" t="s">
        <v>22</v>
      </c>
      <c r="BJ31" s="11" t="s">
        <v>22</v>
      </c>
      <c r="BK31" s="139" t="str">
        <f>IF($E$5="Uniform Inputs",IF($Z31&gt;$E$16,"",IF($E$23="Pro-Rata",MIN(BM31*BF31,(($I$5+'Cash Flows'!$BX$8+INDEX('Cash Flows'!$C$19:$BW$19,1,MATCH(EOMONTH(BL31,MOD(-MONTH(BL31),3)-3),'Cash Flows'!$C$4:$BW$4,0)))-SUM($BB$5,$AS$5,$AJ$5,$AA$5))/$E$16),MIN($E$27,(($I$5+'Cash Flows'!$BX$8+INDEX('Cash Flows'!$C$19:$BW$19,1,MATCH(EOMONTH(BL31,MOD(-MONTH(BL31),3)-3),'Cash Flows'!$C$4:$BW$4,0)))-SUM($BB$5,$AS$5,$AJ$5,$AA$5))/$E$16))),IF(BP31=0,"",BP31))</f>
        <v/>
      </c>
      <c r="BL31" s="112" t="str">
        <f t="shared" si="12"/>
        <v/>
      </c>
      <c r="BM31" s="139" t="str">
        <f>IFERROR(IF($Z31&gt;$E$12,"",IF($E$5="Uniform Inputs",INDEX($D$45:$E$53,MATCH($BK$3,$B$45:$B$53,0),MATCH(BM$4,$D$44:$E$44,0)),IF(BR31=0,"",BR31))),"")</f>
        <v/>
      </c>
      <c r="BN31" s="139" t="str">
        <f>IFERROR(IF($Z31&gt;$E$12,"",IF($E$5="Uniform Inputs",INDEX($D$45:$E$53,MATCH($BK$3,$B$45:$B$53,0),MATCH(BN$4,$D$44:$E$44,0)),IF(BS31=0,"",BS31))),"")</f>
        <v/>
      </c>
      <c r="BO31" s="10" t="str">
        <f t="shared" si="13"/>
        <v/>
      </c>
      <c r="BP31" s="11" t="s">
        <v>22</v>
      </c>
      <c r="BQ31" s="168" t="s">
        <v>22</v>
      </c>
      <c r="BR31" s="11" t="s">
        <v>22</v>
      </c>
      <c r="BS31" s="11" t="s">
        <v>22</v>
      </c>
      <c r="BT31" s="139" t="str">
        <f t="shared" si="30"/>
        <v/>
      </c>
      <c r="BU31" s="112" t="str">
        <f t="shared" si="14"/>
        <v/>
      </c>
      <c r="BV31" s="139" t="str">
        <f>IFERROR(IF($Z31&gt;$E$12,"",IF($E$5="Uniform Inputs",INDEX($D$45:$E$53,MATCH($BT$3,$B$45:$B$53,0),MATCH(BV$4,$D$44:$E$44,0)),IF(CA31=0,"",CA31))),"")</f>
        <v/>
      </c>
      <c r="BW31" s="139" t="str">
        <f>IFERROR(IF($Z31&gt;$E$12,"",IF($E$5="Uniform Inputs",INDEX($D$45:$E$53,MATCH($BT$3,$B$45:$B$53,0),MATCH(BW$4,$D$44:$E$44,0)),IF(CB31=0,"",CB31))),"")</f>
        <v/>
      </c>
      <c r="BX31" s="10" t="str">
        <f t="shared" si="15"/>
        <v/>
      </c>
      <c r="BY31" s="11" t="s">
        <v>22</v>
      </c>
      <c r="BZ31" s="168" t="s">
        <v>22</v>
      </c>
      <c r="CA31" s="11" t="s">
        <v>22</v>
      </c>
      <c r="CB31" s="11" t="s">
        <v>22</v>
      </c>
      <c r="CC31" s="139" t="str">
        <f t="shared" si="31"/>
        <v/>
      </c>
      <c r="CD31" s="112" t="str">
        <f t="shared" si="16"/>
        <v/>
      </c>
      <c r="CE31" s="139" t="str">
        <f>IFERROR(IF($Z31&gt;$E$12,"",IF($E$5="Uniform Inputs",INDEX($D$45:$E$53,MATCH($CC$3,$B$45:$B$53,0),MATCH(CE$4,$D$44:$E$44,0)),IF(CJ31=0,"",CJ31))),"")</f>
        <v/>
      </c>
      <c r="CF31" s="139" t="str">
        <f>IFERROR(IF($Z31&gt;$E$12,"",IF($E$5="Uniform Inputs",INDEX($D$45:$E$53,MATCH($CC$3,$B$45:$B$53,0),MATCH(CF$4,$D$44:$E$44,0)),IF(CK31=0,"",CK31))),"")</f>
        <v/>
      </c>
      <c r="CG31" s="10" t="str">
        <f t="shared" si="17"/>
        <v/>
      </c>
      <c r="CH31" s="11" t="s">
        <v>22</v>
      </c>
      <c r="CI31" s="168" t="s">
        <v>22</v>
      </c>
      <c r="CJ31" s="11" t="s">
        <v>22</v>
      </c>
      <c r="CK31" s="11" t="s">
        <v>22</v>
      </c>
      <c r="CL31" s="139" t="str">
        <f t="shared" si="32"/>
        <v/>
      </c>
      <c r="CM31" s="112" t="str">
        <f t="shared" si="18"/>
        <v/>
      </c>
      <c r="CN31" s="139" t="str">
        <f>IFERROR(IF($Z31&gt;$E$12,"",IF($E$5="Uniform Inputs",INDEX($D$45:$E$53,MATCH($CL$3,$B$45:$B$53,0),MATCH(CN$4,$D$44:$E$44,0)),IF(CS31=0,"",CS31))),"")</f>
        <v/>
      </c>
      <c r="CO31" s="139" t="str">
        <f>IFERROR(IF($Z31&gt;$E$12,"",IF($E$5="Uniform Inputs",INDEX($D$45:$E$53,MATCH($CL$3,$B$45:$B$53,0),MATCH(CO$4,$D$44:$E$44,0)),IF(CT31=0,"",CT31))),"")</f>
        <v/>
      </c>
      <c r="CP31" s="10" t="str">
        <f t="shared" si="19"/>
        <v/>
      </c>
      <c r="CQ31" s="11" t="s">
        <v>22</v>
      </c>
      <c r="CR31" s="168" t="s">
        <v>22</v>
      </c>
      <c r="CS31" s="11" t="s">
        <v>22</v>
      </c>
      <c r="CT31" s="11" t="s">
        <v>22</v>
      </c>
      <c r="CU31" s="139" t="str">
        <f t="shared" si="33"/>
        <v/>
      </c>
      <c r="CV31" s="112" t="str">
        <f t="shared" si="20"/>
        <v/>
      </c>
      <c r="CW31" s="139" t="str">
        <f>IFERROR(IF($Z31&gt;$E$12,"",IF($E$5="Uniform Inputs",INDEX($D$45:$E$53,MATCH($CU$3,$B$45:$B$53,0),MATCH(CW$4,$D$44:$E$44,0)),IF(DB31=0,"",DB31))),"")</f>
        <v/>
      </c>
      <c r="CX31" s="139" t="str">
        <f>IFERROR(IF($Z31&gt;$E$12,"",IF($E$5="Uniform Inputs",INDEX($D$45:$E$53,MATCH($CU$3,$B$45:$B$53,0),MATCH(CX$4,$D$44:$E$44,0)),IF(DC31=0,"",DC31))),"")</f>
        <v/>
      </c>
      <c r="CY31" s="10" t="str">
        <f t="shared" si="21"/>
        <v/>
      </c>
      <c r="CZ31" s="11" t="s">
        <v>22</v>
      </c>
      <c r="DA31" s="168" t="s">
        <v>22</v>
      </c>
      <c r="DB31" s="11" t="s">
        <v>22</v>
      </c>
      <c r="DC31" s="11" t="s">
        <v>22</v>
      </c>
    </row>
    <row r="32" spans="2:107" x14ac:dyDescent="0.25">
      <c r="B32" s="132" t="s">
        <v>96</v>
      </c>
      <c r="C32" s="128"/>
      <c r="D32" s="133">
        <v>1</v>
      </c>
      <c r="E32" s="4">
        <v>1</v>
      </c>
      <c r="K32" s="6" t="str">
        <f t="shared" si="22"/>
        <v/>
      </c>
      <c r="L32" s="32"/>
      <c r="M32" s="33"/>
      <c r="O32" s="6" t="str">
        <f t="shared" si="23"/>
        <v/>
      </c>
      <c r="P32" s="35" t="str">
        <f t="shared" si="0"/>
        <v/>
      </c>
      <c r="Q32" s="102" t="str">
        <f t="shared" si="1"/>
        <v/>
      </c>
      <c r="R32" s="102" t="str">
        <f t="shared" ca="1" si="2"/>
        <v/>
      </c>
      <c r="S32" s="112" t="str">
        <f t="shared" si="24"/>
        <v/>
      </c>
      <c r="T32" s="112" t="str">
        <f t="shared" ca="1" si="3"/>
        <v/>
      </c>
      <c r="U32" s="1" t="str">
        <f t="shared" si="25"/>
        <v/>
      </c>
      <c r="V32" s="1" t="str">
        <f t="shared" ca="1" si="4"/>
        <v/>
      </c>
      <c r="W32" s="34" t="str">
        <f t="shared" ca="1" si="26"/>
        <v/>
      </c>
      <c r="Y32" s="2">
        <v>27</v>
      </c>
      <c r="Z32" s="6" t="str">
        <f t="shared" si="27"/>
        <v/>
      </c>
      <c r="AA32" s="139" t="str">
        <f>IF($E$5="Uniform Inputs",IF($Z32&gt;$E$12,"",MIN($E$21,($I$5+'Cash Flows'!$BX$8+INDEX('Cash Flows'!$C$19:$BW$19,1,MATCH(EOMONTH(AB32,MOD(-MONTH(AB32),3)-3),'Cash Flows'!$C$4:$BW$4,0)))/$E$12)),IF(AF32&gt;0,AF32,""))</f>
        <v/>
      </c>
      <c r="AB32" s="112" t="str">
        <f t="shared" si="28"/>
        <v/>
      </c>
      <c r="AC32" s="139" t="str">
        <f>IFERROR(IF($Z32&gt;$E$12,"",IF($E$5="Uniform Inputs",INDEX($D$45:$E$53,MATCH($AA$3,$B$45:$B$53,0),MATCH(AC$4,$D$44:$E$44,0)),IF(AH32=0,"",AH32))),"")</f>
        <v/>
      </c>
      <c r="AD32" s="139" t="str">
        <f>IFERROR(IF($Z32&gt;$E$12,"",IF($E$5="Uniform Inputs",INDEX($D$45:$E$53,MATCH($AA$3,$B$45:$B$53,0),MATCH(AD$4,$D$44:$E$44,0)),IF(AI32=0,"",AI32))),"")</f>
        <v/>
      </c>
      <c r="AE32" s="10" t="str">
        <f t="shared" si="29"/>
        <v/>
      </c>
      <c r="AF32" s="11" t="s">
        <v>22</v>
      </c>
      <c r="AG32" s="168" t="s">
        <v>22</v>
      </c>
      <c r="AH32" s="11" t="s">
        <v>22</v>
      </c>
      <c r="AI32" s="11" t="s">
        <v>22</v>
      </c>
      <c r="AJ32" s="139" t="str">
        <f>IF($E$5="Uniform Inputs",IF($Z32&gt;$E$13,"",IF($E$23="Pro-Rata",MIN(AL32*AE32,(($I$5+'Cash Flows'!$BX$8+INDEX('Cash Flows'!$C$19:$BW$19,1,MATCH(EOMONTH(AK32,MOD(-MONTH(AK32),3)-3),'Cash Flows'!$C$4:$BW$4,0)))-$AA$5)/$E$13),MIN($E$24,(($I$5+'Cash Flows'!$BX$8+INDEX('Cash Flows'!$C$19:$BW$19,1,MATCH(EOMONTH(AK32,MOD(-MONTH(AK32),3)-3),'Cash Flows'!$C$4:$BW$4,0)))-$AA$5)/$E$13))),IF(AO32=0,"",AO32))</f>
        <v/>
      </c>
      <c r="AK32" s="112" t="str">
        <f t="shared" si="6"/>
        <v/>
      </c>
      <c r="AL32" s="139" t="str">
        <f>IFERROR(IF($Z32&gt;$E$12,"",IF($E$5="Uniform Inputs",INDEX($D$45:$E$53,MATCH($AJ$3,$B$45:$B$53,0),MATCH(AL$4,$D$44:$E$44,0)),IF(AQ32=0,"",AQ32))),"")</f>
        <v/>
      </c>
      <c r="AM32" s="139" t="str">
        <f>IFERROR(IF($Z32&gt;$E$12,"",IF($E$5="Uniform Inputs",INDEX($D$45:$E$53,MATCH($AJ$3,$B$45:$B$53,0),MATCH(AM$4,$D$44:$E$44,0)),IF(AR32=0,"",AR32))),"")</f>
        <v/>
      </c>
      <c r="AN32" s="10" t="str">
        <f t="shared" si="7"/>
        <v/>
      </c>
      <c r="AO32" s="11" t="s">
        <v>22</v>
      </c>
      <c r="AP32" s="168" t="s">
        <v>22</v>
      </c>
      <c r="AQ32" s="11" t="s">
        <v>22</v>
      </c>
      <c r="AR32" s="11" t="s">
        <v>22</v>
      </c>
      <c r="AS32" s="139" t="str">
        <f>IF($E$5="Uniform Inputs",IF($Z32&gt;$E$14,"",IF($E$23="Pro-Rata",MIN(AU32*AN32,(($I$5+'Cash Flows'!$BX$8+INDEX('Cash Flows'!$C$19:$BW$19,1,MATCH(EOMONTH(AT32,MOD(-MONTH(AT32),3)-3),'Cash Flows'!$C$4:$BW$4,0)))-SUM($AJ$5,$AA$5))/$E$14),MIN($E$25,(($I$5+'Cash Flows'!$BX$8+INDEX('Cash Flows'!$C$19:$BW$19,1,MATCH(EOMONTH(AT32,MOD(-MONTH(AT32),3)-3),'Cash Flows'!$C$4:$BW$4,0)))-SUM($AJ$5,$AA$5))/$E$14))),IF(AX32=0,"",AX32))</f>
        <v/>
      </c>
      <c r="AT32" s="112" t="str">
        <f t="shared" si="8"/>
        <v/>
      </c>
      <c r="AU32" s="139" t="str">
        <f>IFERROR(IF($Z32&gt;$E$12,"",IF($E$5="Uniform Inputs",INDEX($D$45:$E$53,MATCH($AS$3,$B$45:$B$53,0),MATCH(AU$4,$D$44:$E$44,0)),IF(AZ32=0,"",AZ32))),"")</f>
        <v/>
      </c>
      <c r="AV32" s="139" t="str">
        <f>IFERROR(IF($Z32&gt;$E$12,"",IF($E$5="Uniform Inputs",INDEX($D$45:$E$53,MATCH($AS$3,$B$45:$B$53,0),MATCH(AV$4,$D$44:$E$44,0)),IF(BA32=0,"",BA32))),"")</f>
        <v/>
      </c>
      <c r="AW32" s="10" t="str">
        <f t="shared" si="9"/>
        <v/>
      </c>
      <c r="AX32" s="11" t="s">
        <v>22</v>
      </c>
      <c r="AY32" s="168" t="s">
        <v>22</v>
      </c>
      <c r="AZ32" s="11" t="s">
        <v>22</v>
      </c>
      <c r="BA32" s="11" t="s">
        <v>22</v>
      </c>
      <c r="BB32" s="139" t="str">
        <f>IF($E$5="Uniform Inputs",IF($Z32&gt;$E$15,"",IF($E$23="Pro-Rata",MIN(BD32*AW32,(($I$5+'Cash Flows'!$BX$8+INDEX('Cash Flows'!$C$19:$BW$19,1,MATCH(EOMONTH(BC32,MOD(-MONTH(BC32),3)-3),'Cash Flows'!$C$4:$BW$4,0)))-SUM($AS$5,$AJ$5,$AA$5))/$E$15),MIN($E$26,(($I$5+'Cash Flows'!$BX$8+INDEX('Cash Flows'!$C$19:$BW$19,1,MATCH(EOMONTH(BC32,MOD(-MONTH(BC32),3)-3),'Cash Flows'!$C$4:$BW$4,0)))-SUM($AS$5,$AJ$5,$AA$5))/$E$15))),IF(BG32=0,"",BG32))</f>
        <v/>
      </c>
      <c r="BC32" s="112" t="str">
        <f t="shared" si="10"/>
        <v/>
      </c>
      <c r="BD32" s="139" t="str">
        <f>IFERROR(IF($Z32&gt;$E$12,"",IF($E$5="Uniform Inputs",INDEX($D$45:$E$53,MATCH($BB$3,$B$45:$B$53,0),MATCH(BD$4,$D$44:$E$44,0)),IF(BI32=0,"",BI32))),"")</f>
        <v/>
      </c>
      <c r="BE32" s="139" t="str">
        <f>IFERROR(IF($Z32&gt;$E$12,"",IF($E$5="Uniform Inputs",INDEX($D$45:$E$53,MATCH($BB$3,$B$45:$B$53,0),MATCH(BE$4,$D$44:$E$44,0)),IF(BJ32=0,"",BJ32))),"")</f>
        <v/>
      </c>
      <c r="BF32" s="10" t="str">
        <f t="shared" si="11"/>
        <v/>
      </c>
      <c r="BG32" s="11" t="s">
        <v>22</v>
      </c>
      <c r="BH32" s="168" t="s">
        <v>22</v>
      </c>
      <c r="BI32" s="11" t="s">
        <v>22</v>
      </c>
      <c r="BJ32" s="11" t="s">
        <v>22</v>
      </c>
      <c r="BK32" s="139" t="str">
        <f>IF($E$5="Uniform Inputs",IF($Z32&gt;$E$16,"",IF($E$23="Pro-Rata",MIN(BM32*BF32,(($I$5+'Cash Flows'!$BX$8+INDEX('Cash Flows'!$C$19:$BW$19,1,MATCH(EOMONTH(BL32,MOD(-MONTH(BL32),3)-3),'Cash Flows'!$C$4:$BW$4,0)))-SUM($BB$5,$AS$5,$AJ$5,$AA$5))/$E$16),MIN($E$27,(($I$5+'Cash Flows'!$BX$8+INDEX('Cash Flows'!$C$19:$BW$19,1,MATCH(EOMONTH(BL32,MOD(-MONTH(BL32),3)-3),'Cash Flows'!$C$4:$BW$4,0)))-SUM($BB$5,$AS$5,$AJ$5,$AA$5))/$E$16))),IF(BP32=0,"",BP32))</f>
        <v/>
      </c>
      <c r="BL32" s="112" t="str">
        <f t="shared" si="12"/>
        <v/>
      </c>
      <c r="BM32" s="139" t="str">
        <f>IFERROR(IF($Z32&gt;$E$12,"",IF($E$5="Uniform Inputs",INDEX($D$45:$E$53,MATCH($BK$3,$B$45:$B$53,0),MATCH(BM$4,$D$44:$E$44,0)),IF(BR32=0,"",BR32))),"")</f>
        <v/>
      </c>
      <c r="BN32" s="139" t="str">
        <f>IFERROR(IF($Z32&gt;$E$12,"",IF($E$5="Uniform Inputs",INDEX($D$45:$E$53,MATCH($BK$3,$B$45:$B$53,0),MATCH(BN$4,$D$44:$E$44,0)),IF(BS32=0,"",BS32))),"")</f>
        <v/>
      </c>
      <c r="BO32" s="10" t="str">
        <f t="shared" si="13"/>
        <v/>
      </c>
      <c r="BP32" s="11" t="s">
        <v>22</v>
      </c>
      <c r="BQ32" s="168" t="s">
        <v>22</v>
      </c>
      <c r="BR32" s="11" t="s">
        <v>22</v>
      </c>
      <c r="BS32" s="11" t="s">
        <v>22</v>
      </c>
      <c r="BT32" s="139" t="str">
        <f t="shared" si="30"/>
        <v/>
      </c>
      <c r="BU32" s="112" t="str">
        <f t="shared" si="14"/>
        <v/>
      </c>
      <c r="BV32" s="139" t="str">
        <f>IFERROR(IF($Z32&gt;$E$12,"",IF($E$5="Uniform Inputs",INDEX($D$45:$E$53,MATCH($BT$3,$B$45:$B$53,0),MATCH(BV$4,$D$44:$E$44,0)),IF(CA32=0,"",CA32))),"")</f>
        <v/>
      </c>
      <c r="BW32" s="139" t="str">
        <f>IFERROR(IF($Z32&gt;$E$12,"",IF($E$5="Uniform Inputs",INDEX($D$45:$E$53,MATCH($BT$3,$B$45:$B$53,0),MATCH(BW$4,$D$44:$E$44,0)),IF(CB32=0,"",CB32))),"")</f>
        <v/>
      </c>
      <c r="BX32" s="10" t="str">
        <f t="shared" si="15"/>
        <v/>
      </c>
      <c r="BY32" s="11" t="s">
        <v>22</v>
      </c>
      <c r="BZ32" s="168" t="s">
        <v>22</v>
      </c>
      <c r="CA32" s="11" t="s">
        <v>22</v>
      </c>
      <c r="CB32" s="11" t="s">
        <v>22</v>
      </c>
      <c r="CC32" s="139" t="str">
        <f t="shared" si="31"/>
        <v/>
      </c>
      <c r="CD32" s="112" t="str">
        <f t="shared" si="16"/>
        <v/>
      </c>
      <c r="CE32" s="139" t="str">
        <f>IFERROR(IF($Z32&gt;$E$12,"",IF($E$5="Uniform Inputs",INDEX($D$45:$E$53,MATCH($CC$3,$B$45:$B$53,0),MATCH(CE$4,$D$44:$E$44,0)),IF(CJ32=0,"",CJ32))),"")</f>
        <v/>
      </c>
      <c r="CF32" s="139" t="str">
        <f>IFERROR(IF($Z32&gt;$E$12,"",IF($E$5="Uniform Inputs",INDEX($D$45:$E$53,MATCH($CC$3,$B$45:$B$53,0),MATCH(CF$4,$D$44:$E$44,0)),IF(CK32=0,"",CK32))),"")</f>
        <v/>
      </c>
      <c r="CG32" s="10" t="str">
        <f t="shared" si="17"/>
        <v/>
      </c>
      <c r="CH32" s="11" t="s">
        <v>22</v>
      </c>
      <c r="CI32" s="168" t="s">
        <v>22</v>
      </c>
      <c r="CJ32" s="11" t="s">
        <v>22</v>
      </c>
      <c r="CK32" s="11" t="s">
        <v>22</v>
      </c>
      <c r="CL32" s="139" t="str">
        <f t="shared" si="32"/>
        <v/>
      </c>
      <c r="CM32" s="112" t="str">
        <f t="shared" si="18"/>
        <v/>
      </c>
      <c r="CN32" s="139" t="str">
        <f>IFERROR(IF($Z32&gt;$E$12,"",IF($E$5="Uniform Inputs",INDEX($D$45:$E$53,MATCH($CL$3,$B$45:$B$53,0),MATCH(CN$4,$D$44:$E$44,0)),IF(CS32=0,"",CS32))),"")</f>
        <v/>
      </c>
      <c r="CO32" s="139" t="str">
        <f>IFERROR(IF($Z32&gt;$E$12,"",IF($E$5="Uniform Inputs",INDEX($D$45:$E$53,MATCH($CL$3,$B$45:$B$53,0),MATCH(CO$4,$D$44:$E$44,0)),IF(CT32=0,"",CT32))),"")</f>
        <v/>
      </c>
      <c r="CP32" s="10" t="str">
        <f t="shared" si="19"/>
        <v/>
      </c>
      <c r="CQ32" s="11" t="s">
        <v>22</v>
      </c>
      <c r="CR32" s="168" t="s">
        <v>22</v>
      </c>
      <c r="CS32" s="11" t="s">
        <v>22</v>
      </c>
      <c r="CT32" s="11" t="s">
        <v>22</v>
      </c>
      <c r="CU32" s="139" t="str">
        <f t="shared" si="33"/>
        <v/>
      </c>
      <c r="CV32" s="112" t="str">
        <f t="shared" si="20"/>
        <v/>
      </c>
      <c r="CW32" s="139" t="str">
        <f>IFERROR(IF($Z32&gt;$E$12,"",IF($E$5="Uniform Inputs",INDEX($D$45:$E$53,MATCH($CU$3,$B$45:$B$53,0),MATCH(CW$4,$D$44:$E$44,0)),IF(DB32=0,"",DB32))),"")</f>
        <v/>
      </c>
      <c r="CX32" s="139" t="str">
        <f>IFERROR(IF($Z32&gt;$E$12,"",IF($E$5="Uniform Inputs",INDEX($D$45:$E$53,MATCH($CU$3,$B$45:$B$53,0),MATCH(CX$4,$D$44:$E$44,0)),IF(DC32=0,"",DC32))),"")</f>
        <v/>
      </c>
      <c r="CY32" s="10" t="str">
        <f t="shared" si="21"/>
        <v/>
      </c>
      <c r="CZ32" s="11" t="s">
        <v>22</v>
      </c>
      <c r="DA32" s="168" t="s">
        <v>22</v>
      </c>
      <c r="DB32" s="11" t="s">
        <v>22</v>
      </c>
      <c r="DC32" s="11" t="s">
        <v>22</v>
      </c>
    </row>
    <row r="33" spans="2:107" x14ac:dyDescent="0.25">
      <c r="B33" s="132" t="s">
        <v>97</v>
      </c>
      <c r="C33" s="128"/>
      <c r="D33" s="130">
        <v>0.2</v>
      </c>
      <c r="E33" s="9">
        <v>0.2</v>
      </c>
      <c r="G33" s="74" t="s">
        <v>115</v>
      </c>
      <c r="H33" s="55"/>
      <c r="I33" s="56"/>
      <c r="K33" s="6" t="str">
        <f t="shared" si="22"/>
        <v/>
      </c>
      <c r="L33" s="32"/>
      <c r="M33" s="33"/>
      <c r="O33" s="6" t="str">
        <f t="shared" si="23"/>
        <v/>
      </c>
      <c r="P33" s="35" t="str">
        <f t="shared" si="0"/>
        <v/>
      </c>
      <c r="Q33" s="102" t="str">
        <f t="shared" si="1"/>
        <v/>
      </c>
      <c r="R33" s="102" t="str">
        <f t="shared" ca="1" si="2"/>
        <v/>
      </c>
      <c r="S33" s="112" t="str">
        <f t="shared" si="24"/>
        <v/>
      </c>
      <c r="T33" s="112" t="str">
        <f t="shared" ca="1" si="3"/>
        <v/>
      </c>
      <c r="U33" s="1" t="str">
        <f t="shared" si="25"/>
        <v/>
      </c>
      <c r="V33" s="1" t="str">
        <f t="shared" ca="1" si="4"/>
        <v/>
      </c>
      <c r="W33" s="34" t="str">
        <f t="shared" ca="1" si="26"/>
        <v/>
      </c>
      <c r="Y33" s="2">
        <v>28</v>
      </c>
      <c r="Z33" s="6" t="str">
        <f t="shared" si="27"/>
        <v/>
      </c>
      <c r="AA33" s="139" t="str">
        <f>IF($E$5="Uniform Inputs",IF($Z33&gt;$E$12,"",MIN($E$21,($I$5+'Cash Flows'!$BX$8+INDEX('Cash Flows'!$C$19:$BW$19,1,MATCH(EOMONTH(AB33,MOD(-MONTH(AB33),3)-3),'Cash Flows'!$C$4:$BW$4,0)))/$E$12)),IF(AF33&gt;0,AF33,""))</f>
        <v/>
      </c>
      <c r="AB33" s="112" t="str">
        <f t="shared" si="28"/>
        <v/>
      </c>
      <c r="AC33" s="139" t="str">
        <f>IFERROR(IF($Z33&gt;$E$12,"",IF($E$5="Uniform Inputs",INDEX($D$45:$E$53,MATCH($AA$3,$B$45:$B$53,0),MATCH(AC$4,$D$44:$E$44,0)),IF(AH33=0,"",AH33))),"")</f>
        <v/>
      </c>
      <c r="AD33" s="139" t="str">
        <f>IFERROR(IF($Z33&gt;$E$12,"",IF($E$5="Uniform Inputs",INDEX($D$45:$E$53,MATCH($AA$3,$B$45:$B$53,0),MATCH(AD$4,$D$44:$E$44,0)),IF(AI33=0,"",AI33))),"")</f>
        <v/>
      </c>
      <c r="AE33" s="10" t="str">
        <f t="shared" si="29"/>
        <v/>
      </c>
      <c r="AF33" s="11" t="s">
        <v>22</v>
      </c>
      <c r="AG33" s="168" t="s">
        <v>22</v>
      </c>
      <c r="AH33" s="11" t="s">
        <v>22</v>
      </c>
      <c r="AI33" s="11" t="s">
        <v>22</v>
      </c>
      <c r="AJ33" s="139" t="str">
        <f>IF($E$5="Uniform Inputs",IF($Z33&gt;$E$13,"",IF($E$23="Pro-Rata",MIN(AL33*AE33,(($I$5+'Cash Flows'!$BX$8+INDEX('Cash Flows'!$C$19:$BW$19,1,MATCH(EOMONTH(AK33,MOD(-MONTH(AK33),3)-3),'Cash Flows'!$C$4:$BW$4,0)))-$AA$5)/$E$13),MIN($E$24,(($I$5+'Cash Flows'!$BX$8+INDEX('Cash Flows'!$C$19:$BW$19,1,MATCH(EOMONTH(AK33,MOD(-MONTH(AK33),3)-3),'Cash Flows'!$C$4:$BW$4,0)))-$AA$5)/$E$13))),IF(AO33=0,"",AO33))</f>
        <v/>
      </c>
      <c r="AK33" s="112" t="str">
        <f t="shared" si="6"/>
        <v/>
      </c>
      <c r="AL33" s="139" t="str">
        <f>IFERROR(IF($Z33&gt;$E$12,"",IF($E$5="Uniform Inputs",INDEX($D$45:$E$53,MATCH($AJ$3,$B$45:$B$53,0),MATCH(AL$4,$D$44:$E$44,0)),IF(AQ33=0,"",AQ33))),"")</f>
        <v/>
      </c>
      <c r="AM33" s="139" t="str">
        <f>IFERROR(IF($Z33&gt;$E$12,"",IF($E$5="Uniform Inputs",INDEX($D$45:$E$53,MATCH($AJ$3,$B$45:$B$53,0),MATCH(AM$4,$D$44:$E$44,0)),IF(AR33=0,"",AR33))),"")</f>
        <v/>
      </c>
      <c r="AN33" s="10" t="str">
        <f t="shared" si="7"/>
        <v/>
      </c>
      <c r="AO33" s="11" t="s">
        <v>22</v>
      </c>
      <c r="AP33" s="168" t="s">
        <v>22</v>
      </c>
      <c r="AQ33" s="11" t="s">
        <v>22</v>
      </c>
      <c r="AR33" s="11" t="s">
        <v>22</v>
      </c>
      <c r="AS33" s="139" t="str">
        <f>IF($E$5="Uniform Inputs",IF($Z33&gt;$E$14,"",IF($E$23="Pro-Rata",MIN(AU33*AN33,(($I$5+'Cash Flows'!$BX$8+INDEX('Cash Flows'!$C$19:$BW$19,1,MATCH(EOMONTH(AT33,MOD(-MONTH(AT33),3)-3),'Cash Flows'!$C$4:$BW$4,0)))-SUM($AJ$5,$AA$5))/$E$14),MIN($E$25,(($I$5+'Cash Flows'!$BX$8+INDEX('Cash Flows'!$C$19:$BW$19,1,MATCH(EOMONTH(AT33,MOD(-MONTH(AT33),3)-3),'Cash Flows'!$C$4:$BW$4,0)))-SUM($AJ$5,$AA$5))/$E$14))),IF(AX33=0,"",AX33))</f>
        <v/>
      </c>
      <c r="AT33" s="112" t="str">
        <f t="shared" si="8"/>
        <v/>
      </c>
      <c r="AU33" s="139" t="str">
        <f>IFERROR(IF($Z33&gt;$E$12,"",IF($E$5="Uniform Inputs",INDEX($D$45:$E$53,MATCH($AS$3,$B$45:$B$53,0),MATCH(AU$4,$D$44:$E$44,0)),IF(AZ33=0,"",AZ33))),"")</f>
        <v/>
      </c>
      <c r="AV33" s="139" t="str">
        <f>IFERROR(IF($Z33&gt;$E$12,"",IF($E$5="Uniform Inputs",INDEX($D$45:$E$53,MATCH($AS$3,$B$45:$B$53,0),MATCH(AV$4,$D$44:$E$44,0)),IF(BA33=0,"",BA33))),"")</f>
        <v/>
      </c>
      <c r="AW33" s="10" t="str">
        <f t="shared" si="9"/>
        <v/>
      </c>
      <c r="AX33" s="11" t="s">
        <v>22</v>
      </c>
      <c r="AY33" s="168" t="s">
        <v>22</v>
      </c>
      <c r="AZ33" s="11" t="s">
        <v>22</v>
      </c>
      <c r="BA33" s="11" t="s">
        <v>22</v>
      </c>
      <c r="BB33" s="139" t="str">
        <f>IF($E$5="Uniform Inputs",IF($Z33&gt;$E$15,"",IF($E$23="Pro-Rata",MIN(BD33*AW33,(($I$5+'Cash Flows'!$BX$8+INDEX('Cash Flows'!$C$19:$BW$19,1,MATCH(EOMONTH(BC33,MOD(-MONTH(BC33),3)-3),'Cash Flows'!$C$4:$BW$4,0)))-SUM($AS$5,$AJ$5,$AA$5))/$E$15),MIN($E$26,(($I$5+'Cash Flows'!$BX$8+INDEX('Cash Flows'!$C$19:$BW$19,1,MATCH(EOMONTH(BC33,MOD(-MONTH(BC33),3)-3),'Cash Flows'!$C$4:$BW$4,0)))-SUM($AS$5,$AJ$5,$AA$5))/$E$15))),IF(BG33=0,"",BG33))</f>
        <v/>
      </c>
      <c r="BC33" s="112" t="str">
        <f t="shared" si="10"/>
        <v/>
      </c>
      <c r="BD33" s="139" t="str">
        <f>IFERROR(IF($Z33&gt;$E$12,"",IF($E$5="Uniform Inputs",INDEX($D$45:$E$53,MATCH($BB$3,$B$45:$B$53,0),MATCH(BD$4,$D$44:$E$44,0)),IF(BI33=0,"",BI33))),"")</f>
        <v/>
      </c>
      <c r="BE33" s="139" t="str">
        <f>IFERROR(IF($Z33&gt;$E$12,"",IF($E$5="Uniform Inputs",INDEX($D$45:$E$53,MATCH($BB$3,$B$45:$B$53,0),MATCH(BE$4,$D$44:$E$44,0)),IF(BJ33=0,"",BJ33))),"")</f>
        <v/>
      </c>
      <c r="BF33" s="10" t="str">
        <f t="shared" si="11"/>
        <v/>
      </c>
      <c r="BG33" s="11" t="s">
        <v>22</v>
      </c>
      <c r="BH33" s="168" t="s">
        <v>22</v>
      </c>
      <c r="BI33" s="11" t="s">
        <v>22</v>
      </c>
      <c r="BJ33" s="11" t="s">
        <v>22</v>
      </c>
      <c r="BK33" s="139" t="str">
        <f>IF($E$5="Uniform Inputs",IF($Z33&gt;$E$16,"",IF($E$23="Pro-Rata",MIN(BM33*BF33,(($I$5+'Cash Flows'!$BX$8+INDEX('Cash Flows'!$C$19:$BW$19,1,MATCH(EOMONTH(BL33,MOD(-MONTH(BL33),3)-3),'Cash Flows'!$C$4:$BW$4,0)))-SUM($BB$5,$AS$5,$AJ$5,$AA$5))/$E$16),MIN($E$27,(($I$5+'Cash Flows'!$BX$8+INDEX('Cash Flows'!$C$19:$BW$19,1,MATCH(EOMONTH(BL33,MOD(-MONTH(BL33),3)-3),'Cash Flows'!$C$4:$BW$4,0)))-SUM($BB$5,$AS$5,$AJ$5,$AA$5))/$E$16))),IF(BP33=0,"",BP33))</f>
        <v/>
      </c>
      <c r="BL33" s="112" t="str">
        <f t="shared" si="12"/>
        <v/>
      </c>
      <c r="BM33" s="139" t="str">
        <f>IFERROR(IF($Z33&gt;$E$12,"",IF($E$5="Uniform Inputs",INDEX($D$45:$E$53,MATCH($BK$3,$B$45:$B$53,0),MATCH(BM$4,$D$44:$E$44,0)),IF(BR33=0,"",BR33))),"")</f>
        <v/>
      </c>
      <c r="BN33" s="139" t="str">
        <f>IFERROR(IF($Z33&gt;$E$12,"",IF($E$5="Uniform Inputs",INDEX($D$45:$E$53,MATCH($BK$3,$B$45:$B$53,0),MATCH(BN$4,$D$44:$E$44,0)),IF(BS33=0,"",BS33))),"")</f>
        <v/>
      </c>
      <c r="BO33" s="10" t="str">
        <f t="shared" si="13"/>
        <v/>
      </c>
      <c r="BP33" s="11" t="s">
        <v>22</v>
      </c>
      <c r="BQ33" s="168" t="s">
        <v>22</v>
      </c>
      <c r="BR33" s="11" t="s">
        <v>22</v>
      </c>
      <c r="BS33" s="11" t="s">
        <v>22</v>
      </c>
      <c r="BT33" s="139" t="str">
        <f t="shared" si="30"/>
        <v/>
      </c>
      <c r="BU33" s="112" t="str">
        <f t="shared" si="14"/>
        <v/>
      </c>
      <c r="BV33" s="139" t="str">
        <f>IFERROR(IF($Z33&gt;$E$12,"",IF($E$5="Uniform Inputs",INDEX($D$45:$E$53,MATCH($BT$3,$B$45:$B$53,0),MATCH(BV$4,$D$44:$E$44,0)),IF(CA33=0,"",CA33))),"")</f>
        <v/>
      </c>
      <c r="BW33" s="139" t="str">
        <f>IFERROR(IF($Z33&gt;$E$12,"",IF($E$5="Uniform Inputs",INDEX($D$45:$E$53,MATCH($BT$3,$B$45:$B$53,0),MATCH(BW$4,$D$44:$E$44,0)),IF(CB33=0,"",CB33))),"")</f>
        <v/>
      </c>
      <c r="BX33" s="10" t="str">
        <f t="shared" si="15"/>
        <v/>
      </c>
      <c r="BY33" s="11" t="s">
        <v>22</v>
      </c>
      <c r="BZ33" s="168" t="s">
        <v>22</v>
      </c>
      <c r="CA33" s="11" t="s">
        <v>22</v>
      </c>
      <c r="CB33" s="11" t="s">
        <v>22</v>
      </c>
      <c r="CC33" s="139" t="str">
        <f t="shared" si="31"/>
        <v/>
      </c>
      <c r="CD33" s="112" t="str">
        <f t="shared" si="16"/>
        <v/>
      </c>
      <c r="CE33" s="139" t="str">
        <f>IFERROR(IF($Z33&gt;$E$12,"",IF($E$5="Uniform Inputs",INDEX($D$45:$E$53,MATCH($CC$3,$B$45:$B$53,0),MATCH(CE$4,$D$44:$E$44,0)),IF(CJ33=0,"",CJ33))),"")</f>
        <v/>
      </c>
      <c r="CF33" s="139" t="str">
        <f>IFERROR(IF($Z33&gt;$E$12,"",IF($E$5="Uniform Inputs",INDEX($D$45:$E$53,MATCH($CC$3,$B$45:$B$53,0),MATCH(CF$4,$D$44:$E$44,0)),IF(CK33=0,"",CK33))),"")</f>
        <v/>
      </c>
      <c r="CG33" s="10" t="str">
        <f t="shared" si="17"/>
        <v/>
      </c>
      <c r="CH33" s="11" t="s">
        <v>22</v>
      </c>
      <c r="CI33" s="168" t="s">
        <v>22</v>
      </c>
      <c r="CJ33" s="11" t="s">
        <v>22</v>
      </c>
      <c r="CK33" s="11" t="s">
        <v>22</v>
      </c>
      <c r="CL33" s="139" t="str">
        <f t="shared" si="32"/>
        <v/>
      </c>
      <c r="CM33" s="112" t="str">
        <f t="shared" si="18"/>
        <v/>
      </c>
      <c r="CN33" s="139" t="str">
        <f>IFERROR(IF($Z33&gt;$E$12,"",IF($E$5="Uniform Inputs",INDEX($D$45:$E$53,MATCH($CL$3,$B$45:$B$53,0),MATCH(CN$4,$D$44:$E$44,0)),IF(CS33=0,"",CS33))),"")</f>
        <v/>
      </c>
      <c r="CO33" s="139" t="str">
        <f>IFERROR(IF($Z33&gt;$E$12,"",IF($E$5="Uniform Inputs",INDEX($D$45:$E$53,MATCH($CL$3,$B$45:$B$53,0),MATCH(CO$4,$D$44:$E$44,0)),IF(CT33=0,"",CT33))),"")</f>
        <v/>
      </c>
      <c r="CP33" s="10" t="str">
        <f t="shared" si="19"/>
        <v/>
      </c>
      <c r="CQ33" s="11" t="s">
        <v>22</v>
      </c>
      <c r="CR33" s="168" t="s">
        <v>22</v>
      </c>
      <c r="CS33" s="11" t="s">
        <v>22</v>
      </c>
      <c r="CT33" s="11" t="s">
        <v>22</v>
      </c>
      <c r="CU33" s="139" t="str">
        <f t="shared" si="33"/>
        <v/>
      </c>
      <c r="CV33" s="112" t="str">
        <f t="shared" si="20"/>
        <v/>
      </c>
      <c r="CW33" s="139" t="str">
        <f>IFERROR(IF($Z33&gt;$E$12,"",IF($E$5="Uniform Inputs",INDEX($D$45:$E$53,MATCH($CU$3,$B$45:$B$53,0),MATCH(CW$4,$D$44:$E$44,0)),IF(DB33=0,"",DB33))),"")</f>
        <v/>
      </c>
      <c r="CX33" s="139" t="str">
        <f>IFERROR(IF($Z33&gt;$E$12,"",IF($E$5="Uniform Inputs",INDEX($D$45:$E$53,MATCH($CU$3,$B$45:$B$53,0),MATCH(CX$4,$D$44:$E$44,0)),IF(DC33=0,"",DC33))),"")</f>
        <v/>
      </c>
      <c r="CY33" s="10" t="str">
        <f t="shared" si="21"/>
        <v/>
      </c>
      <c r="CZ33" s="11" t="s">
        <v>22</v>
      </c>
      <c r="DA33" s="168" t="s">
        <v>22</v>
      </c>
      <c r="DB33" s="11" t="s">
        <v>22</v>
      </c>
      <c r="DC33" s="11" t="s">
        <v>22</v>
      </c>
    </row>
    <row r="34" spans="2:107" x14ac:dyDescent="0.25">
      <c r="B34" s="132" t="s">
        <v>98</v>
      </c>
      <c r="C34" s="128"/>
      <c r="D34" s="134" t="s">
        <v>99</v>
      </c>
      <c r="E34" s="9">
        <v>0.5</v>
      </c>
      <c r="G34" s="61"/>
      <c r="H34" s="62" t="s">
        <v>81</v>
      </c>
      <c r="I34" s="63" t="s">
        <v>31</v>
      </c>
      <c r="K34" s="6" t="str">
        <f t="shared" si="22"/>
        <v/>
      </c>
      <c r="L34" s="32"/>
      <c r="M34" s="33"/>
      <c r="O34" s="6" t="str">
        <f t="shared" si="23"/>
        <v/>
      </c>
      <c r="P34" s="35" t="str">
        <f t="shared" si="0"/>
        <v/>
      </c>
      <c r="Q34" s="102" t="str">
        <f t="shared" si="1"/>
        <v/>
      </c>
      <c r="R34" s="102" t="str">
        <f t="shared" ca="1" si="2"/>
        <v/>
      </c>
      <c r="S34" s="112" t="str">
        <f t="shared" si="24"/>
        <v/>
      </c>
      <c r="T34" s="112" t="str">
        <f t="shared" ca="1" si="3"/>
        <v/>
      </c>
      <c r="U34" s="1" t="str">
        <f t="shared" si="25"/>
        <v/>
      </c>
      <c r="V34" s="1" t="str">
        <f t="shared" ca="1" si="4"/>
        <v/>
      </c>
      <c r="W34" s="34" t="str">
        <f t="shared" ca="1" si="26"/>
        <v/>
      </c>
      <c r="Y34" s="2">
        <v>29</v>
      </c>
      <c r="Z34" s="6" t="str">
        <f t="shared" si="27"/>
        <v/>
      </c>
      <c r="AA34" s="139" t="str">
        <f>IF($E$5="Uniform Inputs",IF($Z34&gt;$E$12,"",MIN($E$21,($I$5+'Cash Flows'!$BX$8+INDEX('Cash Flows'!$C$19:$BW$19,1,MATCH(EOMONTH(AB34,MOD(-MONTH(AB34),3)-3),'Cash Flows'!$C$4:$BW$4,0)))/$E$12)),IF(AF34&gt;0,AF34,""))</f>
        <v/>
      </c>
      <c r="AB34" s="112" t="str">
        <f t="shared" si="28"/>
        <v/>
      </c>
      <c r="AC34" s="139" t="str">
        <f>IFERROR(IF($Z34&gt;$E$12,"",IF($E$5="Uniform Inputs",INDEX($D$45:$E$53,MATCH($AA$3,$B$45:$B$53,0),MATCH(AC$4,$D$44:$E$44,0)),IF(AH34=0,"",AH34))),"")</f>
        <v/>
      </c>
      <c r="AD34" s="139" t="str">
        <f>IFERROR(IF($Z34&gt;$E$12,"",IF($E$5="Uniform Inputs",INDEX($D$45:$E$53,MATCH($AA$3,$B$45:$B$53,0),MATCH(AD$4,$D$44:$E$44,0)),IF(AI34=0,"",AI34))),"")</f>
        <v/>
      </c>
      <c r="AE34" s="10" t="str">
        <f t="shared" si="29"/>
        <v/>
      </c>
      <c r="AF34" s="11" t="s">
        <v>22</v>
      </c>
      <c r="AG34" s="168" t="s">
        <v>22</v>
      </c>
      <c r="AH34" s="11" t="s">
        <v>22</v>
      </c>
      <c r="AI34" s="11" t="s">
        <v>22</v>
      </c>
      <c r="AJ34" s="139" t="str">
        <f>IF($E$5="Uniform Inputs",IF($Z34&gt;$E$13,"",IF($E$23="Pro-Rata",MIN(AL34*AE34,(($I$5+'Cash Flows'!$BX$8+INDEX('Cash Flows'!$C$19:$BW$19,1,MATCH(EOMONTH(AK34,MOD(-MONTH(AK34),3)-3),'Cash Flows'!$C$4:$BW$4,0)))-$AA$5)/$E$13),MIN($E$24,(($I$5+'Cash Flows'!$BX$8+INDEX('Cash Flows'!$C$19:$BW$19,1,MATCH(EOMONTH(AK34,MOD(-MONTH(AK34),3)-3),'Cash Flows'!$C$4:$BW$4,0)))-$AA$5)/$E$13))),IF(AO34=0,"",AO34))</f>
        <v/>
      </c>
      <c r="AK34" s="112" t="str">
        <f t="shared" si="6"/>
        <v/>
      </c>
      <c r="AL34" s="139" t="str">
        <f>IFERROR(IF($Z34&gt;$E$12,"",IF($E$5="Uniform Inputs",INDEX($D$45:$E$53,MATCH($AJ$3,$B$45:$B$53,0),MATCH(AL$4,$D$44:$E$44,0)),IF(AQ34=0,"",AQ34))),"")</f>
        <v/>
      </c>
      <c r="AM34" s="139" t="str">
        <f>IFERROR(IF($Z34&gt;$E$12,"",IF($E$5="Uniform Inputs",INDEX($D$45:$E$53,MATCH($AJ$3,$B$45:$B$53,0),MATCH(AM$4,$D$44:$E$44,0)),IF(AR34=0,"",AR34))),"")</f>
        <v/>
      </c>
      <c r="AN34" s="10" t="str">
        <f t="shared" si="7"/>
        <v/>
      </c>
      <c r="AO34" s="11" t="s">
        <v>22</v>
      </c>
      <c r="AP34" s="168" t="s">
        <v>22</v>
      </c>
      <c r="AQ34" s="11" t="s">
        <v>22</v>
      </c>
      <c r="AR34" s="11" t="s">
        <v>22</v>
      </c>
      <c r="AS34" s="139" t="str">
        <f>IF($E$5="Uniform Inputs",IF($Z34&gt;$E$14,"",IF($E$23="Pro-Rata",MIN(AU34*AN34,(($I$5+'Cash Flows'!$BX$8+INDEX('Cash Flows'!$C$19:$BW$19,1,MATCH(EOMONTH(AT34,MOD(-MONTH(AT34),3)-3),'Cash Flows'!$C$4:$BW$4,0)))-SUM($AJ$5,$AA$5))/$E$14),MIN($E$25,(($I$5+'Cash Flows'!$BX$8+INDEX('Cash Flows'!$C$19:$BW$19,1,MATCH(EOMONTH(AT34,MOD(-MONTH(AT34),3)-3),'Cash Flows'!$C$4:$BW$4,0)))-SUM($AJ$5,$AA$5))/$E$14))),IF(AX34=0,"",AX34))</f>
        <v/>
      </c>
      <c r="AT34" s="112" t="str">
        <f t="shared" si="8"/>
        <v/>
      </c>
      <c r="AU34" s="139" t="str">
        <f>IFERROR(IF($Z34&gt;$E$12,"",IF($E$5="Uniform Inputs",INDEX($D$45:$E$53,MATCH($AS$3,$B$45:$B$53,0),MATCH(AU$4,$D$44:$E$44,0)),IF(AZ34=0,"",AZ34))),"")</f>
        <v/>
      </c>
      <c r="AV34" s="139" t="str">
        <f>IFERROR(IF($Z34&gt;$E$12,"",IF($E$5="Uniform Inputs",INDEX($D$45:$E$53,MATCH($AS$3,$B$45:$B$53,0),MATCH(AV$4,$D$44:$E$44,0)),IF(BA34=0,"",BA34))),"")</f>
        <v/>
      </c>
      <c r="AW34" s="10" t="str">
        <f t="shared" si="9"/>
        <v/>
      </c>
      <c r="AX34" s="11" t="s">
        <v>22</v>
      </c>
      <c r="AY34" s="168" t="s">
        <v>22</v>
      </c>
      <c r="AZ34" s="11" t="s">
        <v>22</v>
      </c>
      <c r="BA34" s="11" t="s">
        <v>22</v>
      </c>
      <c r="BB34" s="139" t="str">
        <f>IF($E$5="Uniform Inputs",IF($Z34&gt;$E$15,"",IF($E$23="Pro-Rata",MIN(BD34*AW34,(($I$5+'Cash Flows'!$BX$8+INDEX('Cash Flows'!$C$19:$BW$19,1,MATCH(EOMONTH(BC34,MOD(-MONTH(BC34),3)-3),'Cash Flows'!$C$4:$BW$4,0)))-SUM($AS$5,$AJ$5,$AA$5))/$E$15),MIN($E$26,(($I$5+'Cash Flows'!$BX$8+INDEX('Cash Flows'!$C$19:$BW$19,1,MATCH(EOMONTH(BC34,MOD(-MONTH(BC34),3)-3),'Cash Flows'!$C$4:$BW$4,0)))-SUM($AS$5,$AJ$5,$AA$5))/$E$15))),IF(BG34=0,"",BG34))</f>
        <v/>
      </c>
      <c r="BC34" s="112" t="str">
        <f t="shared" si="10"/>
        <v/>
      </c>
      <c r="BD34" s="139" t="str">
        <f>IFERROR(IF($Z34&gt;$E$12,"",IF($E$5="Uniform Inputs",INDEX($D$45:$E$53,MATCH($BB$3,$B$45:$B$53,0),MATCH(BD$4,$D$44:$E$44,0)),IF(BI34=0,"",BI34))),"")</f>
        <v/>
      </c>
      <c r="BE34" s="139" t="str">
        <f>IFERROR(IF($Z34&gt;$E$12,"",IF($E$5="Uniform Inputs",INDEX($D$45:$E$53,MATCH($BB$3,$B$45:$B$53,0),MATCH(BE$4,$D$44:$E$44,0)),IF(BJ34=0,"",BJ34))),"")</f>
        <v/>
      </c>
      <c r="BF34" s="10" t="str">
        <f t="shared" si="11"/>
        <v/>
      </c>
      <c r="BG34" s="11" t="s">
        <v>22</v>
      </c>
      <c r="BH34" s="168" t="s">
        <v>22</v>
      </c>
      <c r="BI34" s="11" t="s">
        <v>22</v>
      </c>
      <c r="BJ34" s="11" t="s">
        <v>22</v>
      </c>
      <c r="BK34" s="139" t="str">
        <f>IF($E$5="Uniform Inputs",IF($Z34&gt;$E$16,"",IF($E$23="Pro-Rata",MIN(BM34*BF34,(($I$5+'Cash Flows'!$BX$8+INDEX('Cash Flows'!$C$19:$BW$19,1,MATCH(EOMONTH(BL34,MOD(-MONTH(BL34),3)-3),'Cash Flows'!$C$4:$BW$4,0)))-SUM($BB$5,$AS$5,$AJ$5,$AA$5))/$E$16),MIN($E$27,(($I$5+'Cash Flows'!$BX$8+INDEX('Cash Flows'!$C$19:$BW$19,1,MATCH(EOMONTH(BL34,MOD(-MONTH(BL34),3)-3),'Cash Flows'!$C$4:$BW$4,0)))-SUM($BB$5,$AS$5,$AJ$5,$AA$5))/$E$16))),IF(BP34=0,"",BP34))</f>
        <v/>
      </c>
      <c r="BL34" s="112" t="str">
        <f t="shared" si="12"/>
        <v/>
      </c>
      <c r="BM34" s="139" t="str">
        <f>IFERROR(IF($Z34&gt;$E$12,"",IF($E$5="Uniform Inputs",INDEX($D$45:$E$53,MATCH($BK$3,$B$45:$B$53,0),MATCH(BM$4,$D$44:$E$44,0)),IF(BR34=0,"",BR34))),"")</f>
        <v/>
      </c>
      <c r="BN34" s="139" t="str">
        <f>IFERROR(IF($Z34&gt;$E$12,"",IF($E$5="Uniform Inputs",INDEX($D$45:$E$53,MATCH($BK$3,$B$45:$B$53,0),MATCH(BN$4,$D$44:$E$44,0)),IF(BS34=0,"",BS34))),"")</f>
        <v/>
      </c>
      <c r="BO34" s="10" t="str">
        <f t="shared" si="13"/>
        <v/>
      </c>
      <c r="BP34" s="11" t="s">
        <v>22</v>
      </c>
      <c r="BQ34" s="168" t="s">
        <v>22</v>
      </c>
      <c r="BR34" s="11" t="s">
        <v>22</v>
      </c>
      <c r="BS34" s="11" t="s">
        <v>22</v>
      </c>
      <c r="BT34" s="139" t="str">
        <f t="shared" si="30"/>
        <v/>
      </c>
      <c r="BU34" s="112" t="str">
        <f t="shared" si="14"/>
        <v/>
      </c>
      <c r="BV34" s="139" t="str">
        <f>IFERROR(IF($Z34&gt;$E$12,"",IF($E$5="Uniform Inputs",INDEX($D$45:$E$53,MATCH($BT$3,$B$45:$B$53,0),MATCH(BV$4,$D$44:$E$44,0)),IF(CA34=0,"",CA34))),"")</f>
        <v/>
      </c>
      <c r="BW34" s="139" t="str">
        <f>IFERROR(IF($Z34&gt;$E$12,"",IF($E$5="Uniform Inputs",INDEX($D$45:$E$53,MATCH($BT$3,$B$45:$B$53,0),MATCH(BW$4,$D$44:$E$44,0)),IF(CB34=0,"",CB34))),"")</f>
        <v/>
      </c>
      <c r="BX34" s="10" t="str">
        <f t="shared" si="15"/>
        <v/>
      </c>
      <c r="BY34" s="11" t="s">
        <v>22</v>
      </c>
      <c r="BZ34" s="168" t="s">
        <v>22</v>
      </c>
      <c r="CA34" s="11" t="s">
        <v>22</v>
      </c>
      <c r="CB34" s="11" t="s">
        <v>22</v>
      </c>
      <c r="CC34" s="139" t="str">
        <f t="shared" si="31"/>
        <v/>
      </c>
      <c r="CD34" s="112" t="str">
        <f t="shared" si="16"/>
        <v/>
      </c>
      <c r="CE34" s="139" t="str">
        <f>IFERROR(IF($Z34&gt;$E$12,"",IF($E$5="Uniform Inputs",INDEX($D$45:$E$53,MATCH($CC$3,$B$45:$B$53,0),MATCH(CE$4,$D$44:$E$44,0)),IF(CJ34=0,"",CJ34))),"")</f>
        <v/>
      </c>
      <c r="CF34" s="139" t="str">
        <f>IFERROR(IF($Z34&gt;$E$12,"",IF($E$5="Uniform Inputs",INDEX($D$45:$E$53,MATCH($CC$3,$B$45:$B$53,0),MATCH(CF$4,$D$44:$E$44,0)),IF(CK34=0,"",CK34))),"")</f>
        <v/>
      </c>
      <c r="CG34" s="10" t="str">
        <f t="shared" si="17"/>
        <v/>
      </c>
      <c r="CH34" s="11" t="s">
        <v>22</v>
      </c>
      <c r="CI34" s="168" t="s">
        <v>22</v>
      </c>
      <c r="CJ34" s="11" t="s">
        <v>22</v>
      </c>
      <c r="CK34" s="11" t="s">
        <v>22</v>
      </c>
      <c r="CL34" s="139" t="str">
        <f t="shared" si="32"/>
        <v/>
      </c>
      <c r="CM34" s="112" t="str">
        <f t="shared" si="18"/>
        <v/>
      </c>
      <c r="CN34" s="139" t="str">
        <f>IFERROR(IF($Z34&gt;$E$12,"",IF($E$5="Uniform Inputs",INDEX($D$45:$E$53,MATCH($CL$3,$B$45:$B$53,0),MATCH(CN$4,$D$44:$E$44,0)),IF(CS34=0,"",CS34))),"")</f>
        <v/>
      </c>
      <c r="CO34" s="139" t="str">
        <f>IFERROR(IF($Z34&gt;$E$12,"",IF($E$5="Uniform Inputs",INDEX($D$45:$E$53,MATCH($CL$3,$B$45:$B$53,0),MATCH(CO$4,$D$44:$E$44,0)),IF(CT34=0,"",CT34))),"")</f>
        <v/>
      </c>
      <c r="CP34" s="10" t="str">
        <f t="shared" si="19"/>
        <v/>
      </c>
      <c r="CQ34" s="11" t="s">
        <v>22</v>
      </c>
      <c r="CR34" s="168" t="s">
        <v>22</v>
      </c>
      <c r="CS34" s="11" t="s">
        <v>22</v>
      </c>
      <c r="CT34" s="11" t="s">
        <v>22</v>
      </c>
      <c r="CU34" s="139" t="str">
        <f t="shared" si="33"/>
        <v/>
      </c>
      <c r="CV34" s="112" t="str">
        <f t="shared" si="20"/>
        <v/>
      </c>
      <c r="CW34" s="139" t="str">
        <f>IFERROR(IF($Z34&gt;$E$12,"",IF($E$5="Uniform Inputs",INDEX($D$45:$E$53,MATCH($CU$3,$B$45:$B$53,0),MATCH(CW$4,$D$44:$E$44,0)),IF(DB34=0,"",DB34))),"")</f>
        <v/>
      </c>
      <c r="CX34" s="139" t="str">
        <f>IFERROR(IF($Z34&gt;$E$12,"",IF($E$5="Uniform Inputs",INDEX($D$45:$E$53,MATCH($CU$3,$B$45:$B$53,0),MATCH(CX$4,$D$44:$E$44,0)),IF(DC34=0,"",DC34))),"")</f>
        <v/>
      </c>
      <c r="CY34" s="10" t="str">
        <f t="shared" si="21"/>
        <v/>
      </c>
      <c r="CZ34" s="11" t="s">
        <v>22</v>
      </c>
      <c r="DA34" s="168" t="s">
        <v>22</v>
      </c>
      <c r="DB34" s="11" t="s">
        <v>22</v>
      </c>
      <c r="DC34" s="11" t="s">
        <v>22</v>
      </c>
    </row>
    <row r="35" spans="2:107" x14ac:dyDescent="0.25">
      <c r="B35" s="132" t="s">
        <v>100</v>
      </c>
      <c r="C35" s="128"/>
      <c r="D35" s="129"/>
      <c r="E35" s="67">
        <v>0.02</v>
      </c>
      <c r="G35" s="71">
        <v>1</v>
      </c>
      <c r="H35" s="162">
        <f ca="1">SUMIF('Cash Flows'!$C$2:$BW$2,Model!$G35,'Cash Flows'!$C$10:$BW$10)/'Cash Flows'!$BX$10</f>
        <v>0.26099999999999995</v>
      </c>
      <c r="I35" s="162">
        <f ca="1">SUMIF('Cash Flows'!$C$2:$BW$2,Model!$G35,'Cash Flows'!$C$13:$BW$13)/-'Cash Flows'!$BX$10</f>
        <v>0</v>
      </c>
      <c r="K35" s="6" t="str">
        <f t="shared" si="22"/>
        <v/>
      </c>
      <c r="L35" s="32"/>
      <c r="M35" s="33"/>
      <c r="O35" s="6" t="str">
        <f t="shared" si="23"/>
        <v/>
      </c>
      <c r="P35" s="35" t="str">
        <f t="shared" si="0"/>
        <v/>
      </c>
      <c r="Q35" s="102" t="str">
        <f t="shared" si="1"/>
        <v/>
      </c>
      <c r="R35" s="102" t="str">
        <f t="shared" ca="1" si="2"/>
        <v/>
      </c>
      <c r="S35" s="112" t="str">
        <f t="shared" si="24"/>
        <v/>
      </c>
      <c r="T35" s="112" t="str">
        <f t="shared" ca="1" si="3"/>
        <v/>
      </c>
      <c r="U35" s="1" t="str">
        <f t="shared" si="25"/>
        <v/>
      </c>
      <c r="V35" s="1" t="str">
        <f t="shared" ca="1" si="4"/>
        <v/>
      </c>
      <c r="W35" s="34" t="str">
        <f t="shared" ca="1" si="26"/>
        <v/>
      </c>
      <c r="Y35" s="2">
        <v>30</v>
      </c>
      <c r="Z35" s="6" t="str">
        <f t="shared" si="27"/>
        <v/>
      </c>
      <c r="AA35" s="139" t="str">
        <f>IF($E$5="Uniform Inputs",IF($Z35&gt;$E$12,"",MIN($E$21,($I$5+'Cash Flows'!$BX$8+INDEX('Cash Flows'!$C$19:$BW$19,1,MATCH(EOMONTH(AB35,MOD(-MONTH(AB35),3)-3),'Cash Flows'!$C$4:$BW$4,0)))/$E$12)),IF(AF35&gt;0,AF35,""))</f>
        <v/>
      </c>
      <c r="AB35" s="112" t="str">
        <f t="shared" si="28"/>
        <v/>
      </c>
      <c r="AC35" s="139" t="str">
        <f>IFERROR(IF($Z35&gt;$E$12,"",IF($E$5="Uniform Inputs",INDEX($D$45:$E$53,MATCH($AA$3,$B$45:$B$53,0),MATCH(AC$4,$D$44:$E$44,0)),IF(AH35=0,"",AH35))),"")</f>
        <v/>
      </c>
      <c r="AD35" s="139" t="str">
        <f>IFERROR(IF($Z35&gt;$E$12,"",IF($E$5="Uniform Inputs",INDEX($D$45:$E$53,MATCH($AA$3,$B$45:$B$53,0),MATCH(AD$4,$D$44:$E$44,0)),IF(AI35=0,"",AI35))),"")</f>
        <v/>
      </c>
      <c r="AE35" s="10" t="str">
        <f t="shared" si="29"/>
        <v/>
      </c>
      <c r="AF35" s="11" t="s">
        <v>22</v>
      </c>
      <c r="AG35" s="168" t="s">
        <v>22</v>
      </c>
      <c r="AH35" s="11" t="s">
        <v>22</v>
      </c>
      <c r="AI35" s="11" t="s">
        <v>22</v>
      </c>
      <c r="AJ35" s="139" t="str">
        <f>IF($E$5="Uniform Inputs",IF($Z35&gt;$E$13,"",IF($E$23="Pro-Rata",MIN(AL35*AE35,(($I$5+'Cash Flows'!$BX$8+INDEX('Cash Flows'!$C$19:$BW$19,1,MATCH(EOMONTH(AK35,MOD(-MONTH(AK35),3)-3),'Cash Flows'!$C$4:$BW$4,0)))-$AA$5)/$E$13),MIN($E$24,(($I$5+'Cash Flows'!$BX$8+INDEX('Cash Flows'!$C$19:$BW$19,1,MATCH(EOMONTH(AK35,MOD(-MONTH(AK35),3)-3),'Cash Flows'!$C$4:$BW$4,0)))-$AA$5)/$E$13))),IF(AO35=0,"",AO35))</f>
        <v/>
      </c>
      <c r="AK35" s="112" t="str">
        <f t="shared" si="6"/>
        <v/>
      </c>
      <c r="AL35" s="139" t="str">
        <f>IFERROR(IF($Z35&gt;$E$12,"",IF($E$5="Uniform Inputs",INDEX($D$45:$E$53,MATCH($AJ$3,$B$45:$B$53,0),MATCH(AL$4,$D$44:$E$44,0)),IF(AQ35=0,"",AQ35))),"")</f>
        <v/>
      </c>
      <c r="AM35" s="139" t="str">
        <f>IFERROR(IF($Z35&gt;$E$12,"",IF($E$5="Uniform Inputs",INDEX($D$45:$E$53,MATCH($AJ$3,$B$45:$B$53,0),MATCH(AM$4,$D$44:$E$44,0)),IF(AR35=0,"",AR35))),"")</f>
        <v/>
      </c>
      <c r="AN35" s="10" t="str">
        <f t="shared" si="7"/>
        <v/>
      </c>
      <c r="AO35" s="11" t="s">
        <v>22</v>
      </c>
      <c r="AP35" s="168" t="s">
        <v>22</v>
      </c>
      <c r="AQ35" s="11" t="s">
        <v>22</v>
      </c>
      <c r="AR35" s="11" t="s">
        <v>22</v>
      </c>
      <c r="AS35" s="139" t="str">
        <f>IF($E$5="Uniform Inputs",IF($Z35&gt;$E$14,"",IF($E$23="Pro-Rata",MIN(AU35*AN35,(($I$5+'Cash Flows'!$BX$8+INDEX('Cash Flows'!$C$19:$BW$19,1,MATCH(EOMONTH(AT35,MOD(-MONTH(AT35),3)-3),'Cash Flows'!$C$4:$BW$4,0)))-SUM($AJ$5,$AA$5))/$E$14),MIN($E$25,(($I$5+'Cash Flows'!$BX$8+INDEX('Cash Flows'!$C$19:$BW$19,1,MATCH(EOMONTH(AT35,MOD(-MONTH(AT35),3)-3),'Cash Flows'!$C$4:$BW$4,0)))-SUM($AJ$5,$AA$5))/$E$14))),IF(AX35=0,"",AX35))</f>
        <v/>
      </c>
      <c r="AT35" s="112" t="str">
        <f t="shared" si="8"/>
        <v/>
      </c>
      <c r="AU35" s="139" t="str">
        <f>IFERROR(IF($Z35&gt;$E$12,"",IF($E$5="Uniform Inputs",INDEX($D$45:$E$53,MATCH($AS$3,$B$45:$B$53,0),MATCH(AU$4,$D$44:$E$44,0)),IF(AZ35=0,"",AZ35))),"")</f>
        <v/>
      </c>
      <c r="AV35" s="139" t="str">
        <f>IFERROR(IF($Z35&gt;$E$12,"",IF($E$5="Uniform Inputs",INDEX($D$45:$E$53,MATCH($AS$3,$B$45:$B$53,0),MATCH(AV$4,$D$44:$E$44,0)),IF(BA35=0,"",BA35))),"")</f>
        <v/>
      </c>
      <c r="AW35" s="10" t="str">
        <f t="shared" si="9"/>
        <v/>
      </c>
      <c r="AX35" s="11" t="s">
        <v>22</v>
      </c>
      <c r="AY35" s="168" t="s">
        <v>22</v>
      </c>
      <c r="AZ35" s="11" t="s">
        <v>22</v>
      </c>
      <c r="BA35" s="11" t="s">
        <v>22</v>
      </c>
      <c r="BB35" s="139" t="str">
        <f>IF($E$5="Uniform Inputs",IF($Z35&gt;$E$15,"",IF($E$23="Pro-Rata",MIN(BD35*AW35,(($I$5+'Cash Flows'!$BX$8+INDEX('Cash Flows'!$C$19:$BW$19,1,MATCH(EOMONTH(BC35,MOD(-MONTH(BC35),3)-3),'Cash Flows'!$C$4:$BW$4,0)))-SUM($AS$5,$AJ$5,$AA$5))/$E$15),MIN($E$26,(($I$5+'Cash Flows'!$BX$8+INDEX('Cash Flows'!$C$19:$BW$19,1,MATCH(EOMONTH(BC35,MOD(-MONTH(BC35),3)-3),'Cash Flows'!$C$4:$BW$4,0)))-SUM($AS$5,$AJ$5,$AA$5))/$E$15))),IF(BG35=0,"",BG35))</f>
        <v/>
      </c>
      <c r="BC35" s="112" t="str">
        <f t="shared" si="10"/>
        <v/>
      </c>
      <c r="BD35" s="139" t="str">
        <f>IFERROR(IF($Z35&gt;$E$12,"",IF($E$5="Uniform Inputs",INDEX($D$45:$E$53,MATCH($BB$3,$B$45:$B$53,0),MATCH(BD$4,$D$44:$E$44,0)),IF(BI35=0,"",BI35))),"")</f>
        <v/>
      </c>
      <c r="BE35" s="139" t="str">
        <f>IFERROR(IF($Z35&gt;$E$12,"",IF($E$5="Uniform Inputs",INDEX($D$45:$E$53,MATCH($BB$3,$B$45:$B$53,0),MATCH(BE$4,$D$44:$E$44,0)),IF(BJ35=0,"",BJ35))),"")</f>
        <v/>
      </c>
      <c r="BF35" s="10" t="str">
        <f t="shared" si="11"/>
        <v/>
      </c>
      <c r="BG35" s="11" t="s">
        <v>22</v>
      </c>
      <c r="BH35" s="168" t="s">
        <v>22</v>
      </c>
      <c r="BI35" s="11" t="s">
        <v>22</v>
      </c>
      <c r="BJ35" s="11" t="s">
        <v>22</v>
      </c>
      <c r="BK35" s="139" t="str">
        <f>IF($E$5="Uniform Inputs",IF($Z35&gt;$E$16,"",IF($E$23="Pro-Rata",MIN(BM35*BF35,(($I$5+'Cash Flows'!$BX$8+INDEX('Cash Flows'!$C$19:$BW$19,1,MATCH(EOMONTH(BL35,MOD(-MONTH(BL35),3)-3),'Cash Flows'!$C$4:$BW$4,0)))-SUM($BB$5,$AS$5,$AJ$5,$AA$5))/$E$16),MIN($E$27,(($I$5+'Cash Flows'!$BX$8+INDEX('Cash Flows'!$C$19:$BW$19,1,MATCH(EOMONTH(BL35,MOD(-MONTH(BL35),3)-3),'Cash Flows'!$C$4:$BW$4,0)))-SUM($BB$5,$AS$5,$AJ$5,$AA$5))/$E$16))),IF(BP35=0,"",BP35))</f>
        <v/>
      </c>
      <c r="BL35" s="112" t="str">
        <f t="shared" si="12"/>
        <v/>
      </c>
      <c r="BM35" s="139" t="str">
        <f>IFERROR(IF($Z35&gt;$E$12,"",IF($E$5="Uniform Inputs",INDEX($D$45:$E$53,MATCH($BK$3,$B$45:$B$53,0),MATCH(BM$4,$D$44:$E$44,0)),IF(BR35=0,"",BR35))),"")</f>
        <v/>
      </c>
      <c r="BN35" s="139" t="str">
        <f>IFERROR(IF($Z35&gt;$E$12,"",IF($E$5="Uniform Inputs",INDEX($D$45:$E$53,MATCH($BK$3,$B$45:$B$53,0),MATCH(BN$4,$D$44:$E$44,0)),IF(BS35=0,"",BS35))),"")</f>
        <v/>
      </c>
      <c r="BO35" s="10" t="str">
        <f t="shared" si="13"/>
        <v/>
      </c>
      <c r="BP35" s="11" t="s">
        <v>22</v>
      </c>
      <c r="BQ35" s="168" t="s">
        <v>22</v>
      </c>
      <c r="BR35" s="11" t="s">
        <v>22</v>
      </c>
      <c r="BS35" s="11" t="s">
        <v>22</v>
      </c>
      <c r="BT35" s="139" t="str">
        <f t="shared" si="30"/>
        <v/>
      </c>
      <c r="BU35" s="112" t="str">
        <f t="shared" si="14"/>
        <v/>
      </c>
      <c r="BV35" s="139" t="str">
        <f>IFERROR(IF($Z35&gt;$E$12,"",IF($E$5="Uniform Inputs",INDEX($D$45:$E$53,MATCH($BT$3,$B$45:$B$53,0),MATCH(BV$4,$D$44:$E$44,0)),IF(CA35=0,"",CA35))),"")</f>
        <v/>
      </c>
      <c r="BW35" s="139" t="str">
        <f>IFERROR(IF($Z35&gt;$E$12,"",IF($E$5="Uniform Inputs",INDEX($D$45:$E$53,MATCH($BT$3,$B$45:$B$53,0),MATCH(BW$4,$D$44:$E$44,0)),IF(CB35=0,"",CB35))),"")</f>
        <v/>
      </c>
      <c r="BX35" s="10" t="str">
        <f t="shared" si="15"/>
        <v/>
      </c>
      <c r="BY35" s="11" t="s">
        <v>22</v>
      </c>
      <c r="BZ35" s="168" t="s">
        <v>22</v>
      </c>
      <c r="CA35" s="11" t="s">
        <v>22</v>
      </c>
      <c r="CB35" s="11" t="s">
        <v>22</v>
      </c>
      <c r="CC35" s="139" t="str">
        <f t="shared" si="31"/>
        <v/>
      </c>
      <c r="CD35" s="112" t="str">
        <f t="shared" si="16"/>
        <v/>
      </c>
      <c r="CE35" s="139" t="str">
        <f>IFERROR(IF($Z35&gt;$E$12,"",IF($E$5="Uniform Inputs",INDEX($D$45:$E$53,MATCH($CC$3,$B$45:$B$53,0),MATCH(CE$4,$D$44:$E$44,0)),IF(CJ35=0,"",CJ35))),"")</f>
        <v/>
      </c>
      <c r="CF35" s="139" t="str">
        <f>IFERROR(IF($Z35&gt;$E$12,"",IF($E$5="Uniform Inputs",INDEX($D$45:$E$53,MATCH($CC$3,$B$45:$B$53,0),MATCH(CF$4,$D$44:$E$44,0)),IF(CK35=0,"",CK35))),"")</f>
        <v/>
      </c>
      <c r="CG35" s="10" t="str">
        <f t="shared" si="17"/>
        <v/>
      </c>
      <c r="CH35" s="11" t="s">
        <v>22</v>
      </c>
      <c r="CI35" s="168" t="s">
        <v>22</v>
      </c>
      <c r="CJ35" s="11" t="s">
        <v>22</v>
      </c>
      <c r="CK35" s="11" t="s">
        <v>22</v>
      </c>
      <c r="CL35" s="139" t="str">
        <f t="shared" si="32"/>
        <v/>
      </c>
      <c r="CM35" s="112" t="str">
        <f t="shared" si="18"/>
        <v/>
      </c>
      <c r="CN35" s="139" t="str">
        <f>IFERROR(IF($Z35&gt;$E$12,"",IF($E$5="Uniform Inputs",INDEX($D$45:$E$53,MATCH($CL$3,$B$45:$B$53,0),MATCH(CN$4,$D$44:$E$44,0)),IF(CS35=0,"",CS35))),"")</f>
        <v/>
      </c>
      <c r="CO35" s="139" t="str">
        <f>IFERROR(IF($Z35&gt;$E$12,"",IF($E$5="Uniform Inputs",INDEX($D$45:$E$53,MATCH($CL$3,$B$45:$B$53,0),MATCH(CO$4,$D$44:$E$44,0)),IF(CT35=0,"",CT35))),"")</f>
        <v/>
      </c>
      <c r="CP35" s="10" t="str">
        <f t="shared" si="19"/>
        <v/>
      </c>
      <c r="CQ35" s="11" t="s">
        <v>22</v>
      </c>
      <c r="CR35" s="168" t="s">
        <v>22</v>
      </c>
      <c r="CS35" s="11" t="s">
        <v>22</v>
      </c>
      <c r="CT35" s="11" t="s">
        <v>22</v>
      </c>
      <c r="CU35" s="139" t="str">
        <f t="shared" si="33"/>
        <v/>
      </c>
      <c r="CV35" s="112" t="str">
        <f t="shared" si="20"/>
        <v/>
      </c>
      <c r="CW35" s="139" t="str">
        <f>IFERROR(IF($Z35&gt;$E$12,"",IF($E$5="Uniform Inputs",INDEX($D$45:$E$53,MATCH($CU$3,$B$45:$B$53,0),MATCH(CW$4,$D$44:$E$44,0)),IF(DB35=0,"",DB35))),"")</f>
        <v/>
      </c>
      <c r="CX35" s="139" t="str">
        <f>IFERROR(IF($Z35&gt;$E$12,"",IF($E$5="Uniform Inputs",INDEX($D$45:$E$53,MATCH($CU$3,$B$45:$B$53,0),MATCH(CX$4,$D$44:$E$44,0)),IF(DC35=0,"",DC35))),"")</f>
        <v/>
      </c>
      <c r="CY35" s="10" t="str">
        <f t="shared" si="21"/>
        <v/>
      </c>
      <c r="CZ35" s="11" t="s">
        <v>22</v>
      </c>
      <c r="DA35" s="168" t="s">
        <v>22</v>
      </c>
      <c r="DB35" s="11" t="s">
        <v>22</v>
      </c>
      <c r="DC35" s="11" t="s">
        <v>22</v>
      </c>
    </row>
    <row r="36" spans="2:107" x14ac:dyDescent="0.25">
      <c r="B36" s="132" t="s">
        <v>101</v>
      </c>
      <c r="C36" s="128"/>
      <c r="D36" s="129"/>
      <c r="E36" s="68">
        <v>1.25E-3</v>
      </c>
      <c r="G36" s="71">
        <v>2</v>
      </c>
      <c r="H36" s="162">
        <f ca="1">SUMIF('Cash Flows'!$C$2:$BW$2,Model!$G36,'Cash Flows'!$C$10:$BW$10)/'Cash Flows'!$BX$10</f>
        <v>0.39190909090909087</v>
      </c>
      <c r="I36" s="162">
        <f ca="1">SUMIF('Cash Flows'!$C$2:$BW$2,Model!$G36,'Cash Flows'!$C$13:$BW$13)/-'Cash Flows'!$BX$10</f>
        <v>0</v>
      </c>
      <c r="K36" s="6" t="str">
        <f t="shared" si="22"/>
        <v/>
      </c>
      <c r="L36" s="32"/>
      <c r="M36" s="33"/>
      <c r="O36" s="6" t="str">
        <f t="shared" si="23"/>
        <v/>
      </c>
      <c r="P36" s="35" t="str">
        <f t="shared" si="0"/>
        <v/>
      </c>
      <c r="Q36" s="102" t="str">
        <f t="shared" si="1"/>
        <v/>
      </c>
      <c r="R36" s="102" t="str">
        <f t="shared" ca="1" si="2"/>
        <v/>
      </c>
      <c r="S36" s="112" t="str">
        <f t="shared" si="24"/>
        <v/>
      </c>
      <c r="T36" s="112" t="str">
        <f t="shared" ca="1" si="3"/>
        <v/>
      </c>
      <c r="U36" s="1" t="str">
        <f t="shared" si="25"/>
        <v/>
      </c>
      <c r="V36" s="1" t="str">
        <f t="shared" ca="1" si="4"/>
        <v/>
      </c>
      <c r="W36" s="34" t="str">
        <f t="shared" ca="1" si="26"/>
        <v/>
      </c>
      <c r="Y36" s="2">
        <v>31</v>
      </c>
      <c r="Z36" s="6" t="str">
        <f t="shared" si="27"/>
        <v/>
      </c>
      <c r="AA36" s="139" t="str">
        <f>IF($E$5="Uniform Inputs",IF($Z36&gt;$E$12,"",MIN($E$21,($I$5+'Cash Flows'!$BX$8+INDEX('Cash Flows'!$C$19:$BW$19,1,MATCH(EOMONTH(AB36,MOD(-MONTH(AB36),3)-3),'Cash Flows'!$C$4:$BW$4,0)))/$E$12)),IF(AF36&gt;0,AF36,""))</f>
        <v/>
      </c>
      <c r="AB36" s="112" t="str">
        <f t="shared" si="28"/>
        <v/>
      </c>
      <c r="AC36" s="139" t="str">
        <f>IFERROR(IF($Z36&gt;$E$12,"",IF($E$5="Uniform Inputs",INDEX($D$45:$E$53,MATCH($AA$3,$B$45:$B$53,0),MATCH(AC$4,$D$44:$E$44,0)),IF(AH36=0,"",AH36))),"")</f>
        <v/>
      </c>
      <c r="AD36" s="139" t="str">
        <f>IFERROR(IF($Z36&gt;$E$12,"",IF($E$5="Uniform Inputs",INDEX($D$45:$E$53,MATCH($AA$3,$B$45:$B$53,0),MATCH(AD$4,$D$44:$E$44,0)),IF(AI36=0,"",AI36))),"")</f>
        <v/>
      </c>
      <c r="AE36" s="10" t="str">
        <f t="shared" si="29"/>
        <v/>
      </c>
      <c r="AF36" s="11" t="s">
        <v>22</v>
      </c>
      <c r="AG36" s="168" t="s">
        <v>22</v>
      </c>
      <c r="AH36" s="11" t="s">
        <v>22</v>
      </c>
      <c r="AI36" s="11" t="s">
        <v>22</v>
      </c>
      <c r="AJ36" s="139" t="str">
        <f>IF($E$5="Uniform Inputs",IF($Z36&gt;$E$13,"",IF($E$23="Pro-Rata",MIN(AL36*AE36,(($I$5+'Cash Flows'!$BX$8+INDEX('Cash Flows'!$C$19:$BW$19,1,MATCH(EOMONTH(AK36,MOD(-MONTH(AK36),3)-3),'Cash Flows'!$C$4:$BW$4,0)))-$AA$5)/$E$13),MIN($E$24,(($I$5+'Cash Flows'!$BX$8+INDEX('Cash Flows'!$C$19:$BW$19,1,MATCH(EOMONTH(AK36,MOD(-MONTH(AK36),3)-3),'Cash Flows'!$C$4:$BW$4,0)))-$AA$5)/$E$13))),IF(AO36=0,"",AO36))</f>
        <v/>
      </c>
      <c r="AK36" s="112" t="str">
        <f t="shared" si="6"/>
        <v/>
      </c>
      <c r="AL36" s="139" t="str">
        <f>IFERROR(IF($Z36&gt;$E$12,"",IF($E$5="Uniform Inputs",INDEX($D$45:$E$53,MATCH($AJ$3,$B$45:$B$53,0),MATCH(AL$4,$D$44:$E$44,0)),IF(AQ36=0,"",AQ36))),"")</f>
        <v/>
      </c>
      <c r="AM36" s="139" t="str">
        <f>IFERROR(IF($Z36&gt;$E$12,"",IF($E$5="Uniform Inputs",INDEX($D$45:$E$53,MATCH($AJ$3,$B$45:$B$53,0),MATCH(AM$4,$D$44:$E$44,0)),IF(AR36=0,"",AR36))),"")</f>
        <v/>
      </c>
      <c r="AN36" s="10" t="str">
        <f t="shared" si="7"/>
        <v/>
      </c>
      <c r="AO36" s="11" t="s">
        <v>22</v>
      </c>
      <c r="AP36" s="168" t="s">
        <v>22</v>
      </c>
      <c r="AQ36" s="11" t="s">
        <v>22</v>
      </c>
      <c r="AR36" s="11" t="s">
        <v>22</v>
      </c>
      <c r="AS36" s="139" t="str">
        <f>IF($E$5="Uniform Inputs",IF($Z36&gt;$E$14,"",IF($E$23="Pro-Rata",MIN(AU36*AN36,(($I$5+'Cash Flows'!$BX$8+INDEX('Cash Flows'!$C$19:$BW$19,1,MATCH(EOMONTH(AT36,MOD(-MONTH(AT36),3)-3),'Cash Flows'!$C$4:$BW$4,0)))-SUM($AJ$5,$AA$5))/$E$14),MIN($E$25,(($I$5+'Cash Flows'!$BX$8+INDEX('Cash Flows'!$C$19:$BW$19,1,MATCH(EOMONTH(AT36,MOD(-MONTH(AT36),3)-3),'Cash Flows'!$C$4:$BW$4,0)))-SUM($AJ$5,$AA$5))/$E$14))),IF(AX36=0,"",AX36))</f>
        <v/>
      </c>
      <c r="AT36" s="112" t="str">
        <f t="shared" si="8"/>
        <v/>
      </c>
      <c r="AU36" s="139" t="str">
        <f>IFERROR(IF($Z36&gt;$E$12,"",IF($E$5="Uniform Inputs",INDEX($D$45:$E$53,MATCH($AS$3,$B$45:$B$53,0),MATCH(AU$4,$D$44:$E$44,0)),IF(AZ36=0,"",AZ36))),"")</f>
        <v/>
      </c>
      <c r="AV36" s="139" t="str">
        <f>IFERROR(IF($Z36&gt;$E$12,"",IF($E$5="Uniform Inputs",INDEX($D$45:$E$53,MATCH($AS$3,$B$45:$B$53,0),MATCH(AV$4,$D$44:$E$44,0)),IF(BA36=0,"",BA36))),"")</f>
        <v/>
      </c>
      <c r="AW36" s="10" t="str">
        <f t="shared" si="9"/>
        <v/>
      </c>
      <c r="AX36" s="11" t="s">
        <v>22</v>
      </c>
      <c r="AY36" s="168" t="s">
        <v>22</v>
      </c>
      <c r="AZ36" s="11" t="s">
        <v>22</v>
      </c>
      <c r="BA36" s="11" t="s">
        <v>22</v>
      </c>
      <c r="BB36" s="139" t="str">
        <f>IF($E$5="Uniform Inputs",IF($Z36&gt;$E$15,"",IF($E$23="Pro-Rata",MIN(BD36*AW36,(($I$5+'Cash Flows'!$BX$8+INDEX('Cash Flows'!$C$19:$BW$19,1,MATCH(EOMONTH(BC36,MOD(-MONTH(BC36),3)-3),'Cash Flows'!$C$4:$BW$4,0)))-SUM($AS$5,$AJ$5,$AA$5))/$E$15),MIN($E$26,(($I$5+'Cash Flows'!$BX$8+INDEX('Cash Flows'!$C$19:$BW$19,1,MATCH(EOMONTH(BC36,MOD(-MONTH(BC36),3)-3),'Cash Flows'!$C$4:$BW$4,0)))-SUM($AS$5,$AJ$5,$AA$5))/$E$15))),IF(BG36=0,"",BG36))</f>
        <v/>
      </c>
      <c r="BC36" s="112" t="str">
        <f t="shared" si="10"/>
        <v/>
      </c>
      <c r="BD36" s="139" t="str">
        <f>IFERROR(IF($Z36&gt;$E$12,"",IF($E$5="Uniform Inputs",INDEX($D$45:$E$53,MATCH($BB$3,$B$45:$B$53,0),MATCH(BD$4,$D$44:$E$44,0)),IF(BI36=0,"",BI36))),"")</f>
        <v/>
      </c>
      <c r="BE36" s="139" t="str">
        <f>IFERROR(IF($Z36&gt;$E$12,"",IF($E$5="Uniform Inputs",INDEX($D$45:$E$53,MATCH($BB$3,$B$45:$B$53,0),MATCH(BE$4,$D$44:$E$44,0)),IF(BJ36=0,"",BJ36))),"")</f>
        <v/>
      </c>
      <c r="BF36" s="10" t="str">
        <f t="shared" si="11"/>
        <v/>
      </c>
      <c r="BG36" s="11" t="s">
        <v>22</v>
      </c>
      <c r="BH36" s="168" t="s">
        <v>22</v>
      </c>
      <c r="BI36" s="11" t="s">
        <v>22</v>
      </c>
      <c r="BJ36" s="11" t="s">
        <v>22</v>
      </c>
      <c r="BK36" s="139" t="str">
        <f>IF($E$5="Uniform Inputs",IF($Z36&gt;$E$16,"",IF($E$23="Pro-Rata",MIN(BM36*BF36,(($I$5+'Cash Flows'!$BX$8+INDEX('Cash Flows'!$C$19:$BW$19,1,MATCH(EOMONTH(BL36,MOD(-MONTH(BL36),3)-3),'Cash Flows'!$C$4:$BW$4,0)))-SUM($BB$5,$AS$5,$AJ$5,$AA$5))/$E$16),MIN($E$27,(($I$5+'Cash Flows'!$BX$8+INDEX('Cash Flows'!$C$19:$BW$19,1,MATCH(EOMONTH(BL36,MOD(-MONTH(BL36),3)-3),'Cash Flows'!$C$4:$BW$4,0)))-SUM($BB$5,$AS$5,$AJ$5,$AA$5))/$E$16))),IF(BP36=0,"",BP36))</f>
        <v/>
      </c>
      <c r="BL36" s="112" t="str">
        <f t="shared" si="12"/>
        <v/>
      </c>
      <c r="BM36" s="139" t="str">
        <f>IFERROR(IF($Z36&gt;$E$12,"",IF($E$5="Uniform Inputs",INDEX($D$45:$E$53,MATCH($BK$3,$B$45:$B$53,0),MATCH(BM$4,$D$44:$E$44,0)),IF(BR36=0,"",BR36))),"")</f>
        <v/>
      </c>
      <c r="BN36" s="139" t="str">
        <f>IFERROR(IF($Z36&gt;$E$12,"",IF($E$5="Uniform Inputs",INDEX($D$45:$E$53,MATCH($BK$3,$B$45:$B$53,0),MATCH(BN$4,$D$44:$E$44,0)),IF(BS36=0,"",BS36))),"")</f>
        <v/>
      </c>
      <c r="BO36" s="10" t="str">
        <f t="shared" si="13"/>
        <v/>
      </c>
      <c r="BP36" s="11" t="s">
        <v>22</v>
      </c>
      <c r="BQ36" s="168" t="s">
        <v>22</v>
      </c>
      <c r="BR36" s="11" t="s">
        <v>22</v>
      </c>
      <c r="BS36" s="11" t="s">
        <v>22</v>
      </c>
      <c r="BT36" s="139" t="str">
        <f t="shared" si="30"/>
        <v/>
      </c>
      <c r="BU36" s="112" t="str">
        <f t="shared" si="14"/>
        <v/>
      </c>
      <c r="BV36" s="139" t="str">
        <f>IFERROR(IF($Z36&gt;$E$12,"",IF($E$5="Uniform Inputs",INDEX($D$45:$E$53,MATCH($BT$3,$B$45:$B$53,0),MATCH(BV$4,$D$44:$E$44,0)),IF(CA36=0,"",CA36))),"")</f>
        <v/>
      </c>
      <c r="BW36" s="139" t="str">
        <f>IFERROR(IF($Z36&gt;$E$12,"",IF($E$5="Uniform Inputs",INDEX($D$45:$E$53,MATCH($BT$3,$B$45:$B$53,0),MATCH(BW$4,$D$44:$E$44,0)),IF(CB36=0,"",CB36))),"")</f>
        <v/>
      </c>
      <c r="BX36" s="10" t="str">
        <f t="shared" si="15"/>
        <v/>
      </c>
      <c r="BY36" s="11" t="s">
        <v>22</v>
      </c>
      <c r="BZ36" s="168" t="s">
        <v>22</v>
      </c>
      <c r="CA36" s="11" t="s">
        <v>22</v>
      </c>
      <c r="CB36" s="11" t="s">
        <v>22</v>
      </c>
      <c r="CC36" s="139" t="str">
        <f t="shared" si="31"/>
        <v/>
      </c>
      <c r="CD36" s="112" t="str">
        <f t="shared" si="16"/>
        <v/>
      </c>
      <c r="CE36" s="139" t="str">
        <f>IFERROR(IF($Z36&gt;$E$12,"",IF($E$5="Uniform Inputs",INDEX($D$45:$E$53,MATCH($CC$3,$B$45:$B$53,0),MATCH(CE$4,$D$44:$E$44,0)),IF(CJ36=0,"",CJ36))),"")</f>
        <v/>
      </c>
      <c r="CF36" s="139" t="str">
        <f>IFERROR(IF($Z36&gt;$E$12,"",IF($E$5="Uniform Inputs",INDEX($D$45:$E$53,MATCH($CC$3,$B$45:$B$53,0),MATCH(CF$4,$D$44:$E$44,0)),IF(CK36=0,"",CK36))),"")</f>
        <v/>
      </c>
      <c r="CG36" s="10" t="str">
        <f t="shared" si="17"/>
        <v/>
      </c>
      <c r="CH36" s="11" t="s">
        <v>22</v>
      </c>
      <c r="CI36" s="168" t="s">
        <v>22</v>
      </c>
      <c r="CJ36" s="11" t="s">
        <v>22</v>
      </c>
      <c r="CK36" s="11" t="s">
        <v>22</v>
      </c>
      <c r="CL36" s="139" t="str">
        <f t="shared" si="32"/>
        <v/>
      </c>
      <c r="CM36" s="112" t="str">
        <f t="shared" si="18"/>
        <v/>
      </c>
      <c r="CN36" s="139" t="str">
        <f>IFERROR(IF($Z36&gt;$E$12,"",IF($E$5="Uniform Inputs",INDEX($D$45:$E$53,MATCH($CL$3,$B$45:$B$53,0),MATCH(CN$4,$D$44:$E$44,0)),IF(CS36=0,"",CS36))),"")</f>
        <v/>
      </c>
      <c r="CO36" s="139" t="str">
        <f>IFERROR(IF($Z36&gt;$E$12,"",IF($E$5="Uniform Inputs",INDEX($D$45:$E$53,MATCH($CL$3,$B$45:$B$53,0),MATCH(CO$4,$D$44:$E$44,0)),IF(CT36=0,"",CT36))),"")</f>
        <v/>
      </c>
      <c r="CP36" s="10" t="str">
        <f t="shared" si="19"/>
        <v/>
      </c>
      <c r="CQ36" s="11" t="s">
        <v>22</v>
      </c>
      <c r="CR36" s="168" t="s">
        <v>22</v>
      </c>
      <c r="CS36" s="11" t="s">
        <v>22</v>
      </c>
      <c r="CT36" s="11" t="s">
        <v>22</v>
      </c>
      <c r="CU36" s="139" t="str">
        <f t="shared" si="33"/>
        <v/>
      </c>
      <c r="CV36" s="112" t="str">
        <f t="shared" si="20"/>
        <v/>
      </c>
      <c r="CW36" s="139" t="str">
        <f>IFERROR(IF($Z36&gt;$E$12,"",IF($E$5="Uniform Inputs",INDEX($D$45:$E$53,MATCH($CU$3,$B$45:$B$53,0),MATCH(CW$4,$D$44:$E$44,0)),IF(DB36=0,"",DB36))),"")</f>
        <v/>
      </c>
      <c r="CX36" s="139" t="str">
        <f>IFERROR(IF($Z36&gt;$E$12,"",IF($E$5="Uniform Inputs",INDEX($D$45:$E$53,MATCH($CU$3,$B$45:$B$53,0),MATCH(CX$4,$D$44:$E$44,0)),IF(DC36=0,"",DC36))),"")</f>
        <v/>
      </c>
      <c r="CY36" s="10" t="str">
        <f t="shared" si="21"/>
        <v/>
      </c>
      <c r="CZ36" s="11" t="s">
        <v>22</v>
      </c>
      <c r="DA36" s="168" t="s">
        <v>22</v>
      </c>
      <c r="DB36" s="11" t="s">
        <v>22</v>
      </c>
      <c r="DC36" s="11" t="s">
        <v>22</v>
      </c>
    </row>
    <row r="37" spans="2:107" x14ac:dyDescent="0.25">
      <c r="B37" s="131" t="s">
        <v>102</v>
      </c>
      <c r="C37" s="128"/>
      <c r="D37" s="129"/>
      <c r="E37" s="69">
        <v>0.01</v>
      </c>
      <c r="G37" s="72">
        <v>3</v>
      </c>
      <c r="H37" s="162">
        <f ca="1">SUMIF('Cash Flows'!$C$2:$BW$2,Model!$G37,'Cash Flows'!$C$10:$BW$10)/'Cash Flows'!$BX$10</f>
        <v>0.17190909090909087</v>
      </c>
      <c r="I37" s="162">
        <f ca="1">SUMIF('Cash Flows'!$C$2:$BW$2,Model!$G37,'Cash Flows'!$C$13:$BW$13)/-'Cash Flows'!$BX$10</f>
        <v>0</v>
      </c>
      <c r="K37" s="6" t="str">
        <f t="shared" si="22"/>
        <v/>
      </c>
      <c r="L37" s="32"/>
      <c r="M37" s="33"/>
      <c r="O37" s="6" t="str">
        <f t="shared" si="23"/>
        <v/>
      </c>
      <c r="P37" s="35" t="str">
        <f t="shared" si="0"/>
        <v/>
      </c>
      <c r="Q37" s="102" t="str">
        <f t="shared" si="1"/>
        <v/>
      </c>
      <c r="R37" s="102" t="str">
        <f t="shared" ca="1" si="2"/>
        <v/>
      </c>
      <c r="S37" s="112" t="str">
        <f t="shared" si="24"/>
        <v/>
      </c>
      <c r="T37" s="112" t="str">
        <f t="shared" ca="1" si="3"/>
        <v/>
      </c>
      <c r="U37" s="1" t="str">
        <f t="shared" si="25"/>
        <v/>
      </c>
      <c r="V37" s="1" t="str">
        <f t="shared" ca="1" si="4"/>
        <v/>
      </c>
      <c r="W37" s="34" t="str">
        <f t="shared" ca="1" si="26"/>
        <v/>
      </c>
      <c r="Y37" s="2">
        <v>32</v>
      </c>
      <c r="Z37" s="6" t="str">
        <f t="shared" si="27"/>
        <v/>
      </c>
      <c r="AA37" s="139" t="str">
        <f>IF($E$5="Uniform Inputs",IF($Z37&gt;$E$12,"",MIN($E$21,($I$5+'Cash Flows'!$BX$8+INDEX('Cash Flows'!$C$19:$BW$19,1,MATCH(EOMONTH(AB37,MOD(-MONTH(AB37),3)-3),'Cash Flows'!$C$4:$BW$4,0)))/$E$12)),IF(AF37&gt;0,AF37,""))</f>
        <v/>
      </c>
      <c r="AB37" s="112" t="str">
        <f t="shared" si="28"/>
        <v/>
      </c>
      <c r="AC37" s="139" t="str">
        <f>IFERROR(IF($Z37&gt;$E$12,"",IF($E$5="Uniform Inputs",INDEX($D$45:$E$53,MATCH($AA$3,$B$45:$B$53,0),MATCH(AC$4,$D$44:$E$44,0)),IF(AH37=0,"",AH37))),"")</f>
        <v/>
      </c>
      <c r="AD37" s="139" t="str">
        <f>IFERROR(IF($Z37&gt;$E$12,"",IF($E$5="Uniform Inputs",INDEX($D$45:$E$53,MATCH($AA$3,$B$45:$B$53,0),MATCH(AD$4,$D$44:$E$44,0)),IF(AI37=0,"",AI37))),"")</f>
        <v/>
      </c>
      <c r="AE37" s="10" t="str">
        <f t="shared" si="29"/>
        <v/>
      </c>
      <c r="AF37" s="11" t="s">
        <v>22</v>
      </c>
      <c r="AG37" s="168" t="s">
        <v>22</v>
      </c>
      <c r="AH37" s="11" t="s">
        <v>22</v>
      </c>
      <c r="AI37" s="11" t="s">
        <v>22</v>
      </c>
      <c r="AJ37" s="139" t="str">
        <f>IF($E$5="Uniform Inputs",IF($Z37&gt;$E$13,"",IF($E$23="Pro-Rata",MIN(AL37*AE37,(($I$5+'Cash Flows'!$BX$8+INDEX('Cash Flows'!$C$19:$BW$19,1,MATCH(EOMONTH(AK37,MOD(-MONTH(AK37),3)-3),'Cash Flows'!$C$4:$BW$4,0)))-$AA$5)/$E$13),MIN($E$24,(($I$5+'Cash Flows'!$BX$8+INDEX('Cash Flows'!$C$19:$BW$19,1,MATCH(EOMONTH(AK37,MOD(-MONTH(AK37),3)-3),'Cash Flows'!$C$4:$BW$4,0)))-$AA$5)/$E$13))),IF(AO37=0,"",AO37))</f>
        <v/>
      </c>
      <c r="AK37" s="112" t="str">
        <f t="shared" si="6"/>
        <v/>
      </c>
      <c r="AL37" s="139" t="str">
        <f>IFERROR(IF($Z37&gt;$E$12,"",IF($E$5="Uniform Inputs",INDEX($D$45:$E$53,MATCH($AJ$3,$B$45:$B$53,0),MATCH(AL$4,$D$44:$E$44,0)),IF(AQ37=0,"",AQ37))),"")</f>
        <v/>
      </c>
      <c r="AM37" s="139" t="str">
        <f>IFERROR(IF($Z37&gt;$E$12,"",IF($E$5="Uniform Inputs",INDEX($D$45:$E$53,MATCH($AJ$3,$B$45:$B$53,0),MATCH(AM$4,$D$44:$E$44,0)),IF(AR37=0,"",AR37))),"")</f>
        <v/>
      </c>
      <c r="AN37" s="10" t="str">
        <f t="shared" si="7"/>
        <v/>
      </c>
      <c r="AO37" s="11" t="s">
        <v>22</v>
      </c>
      <c r="AP37" s="168" t="s">
        <v>22</v>
      </c>
      <c r="AQ37" s="11" t="s">
        <v>22</v>
      </c>
      <c r="AR37" s="11" t="s">
        <v>22</v>
      </c>
      <c r="AS37" s="139" t="str">
        <f>IF($E$5="Uniform Inputs",IF($Z37&gt;$E$14,"",IF($E$23="Pro-Rata",MIN(AU37*AN37,(($I$5+'Cash Flows'!$BX$8+INDEX('Cash Flows'!$C$19:$BW$19,1,MATCH(EOMONTH(AT37,MOD(-MONTH(AT37),3)-3),'Cash Flows'!$C$4:$BW$4,0)))-SUM($AJ$5,$AA$5))/$E$14),MIN($E$25,(($I$5+'Cash Flows'!$BX$8+INDEX('Cash Flows'!$C$19:$BW$19,1,MATCH(EOMONTH(AT37,MOD(-MONTH(AT37),3)-3),'Cash Flows'!$C$4:$BW$4,0)))-SUM($AJ$5,$AA$5))/$E$14))),IF(AX37=0,"",AX37))</f>
        <v/>
      </c>
      <c r="AT37" s="112" t="str">
        <f t="shared" si="8"/>
        <v/>
      </c>
      <c r="AU37" s="139" t="str">
        <f>IFERROR(IF($Z37&gt;$E$12,"",IF($E$5="Uniform Inputs",INDEX($D$45:$E$53,MATCH($AS$3,$B$45:$B$53,0),MATCH(AU$4,$D$44:$E$44,0)),IF(AZ37=0,"",AZ37))),"")</f>
        <v/>
      </c>
      <c r="AV37" s="139" t="str">
        <f>IFERROR(IF($Z37&gt;$E$12,"",IF($E$5="Uniform Inputs",INDEX($D$45:$E$53,MATCH($AS$3,$B$45:$B$53,0),MATCH(AV$4,$D$44:$E$44,0)),IF(BA37=0,"",BA37))),"")</f>
        <v/>
      </c>
      <c r="AW37" s="10" t="str">
        <f t="shared" si="9"/>
        <v/>
      </c>
      <c r="AX37" s="11" t="s">
        <v>22</v>
      </c>
      <c r="AY37" s="168" t="s">
        <v>22</v>
      </c>
      <c r="AZ37" s="11" t="s">
        <v>22</v>
      </c>
      <c r="BA37" s="11" t="s">
        <v>22</v>
      </c>
      <c r="BB37" s="139" t="str">
        <f>IF($E$5="Uniform Inputs",IF($Z37&gt;$E$15,"",IF($E$23="Pro-Rata",MIN(BD37*AW37,(($I$5+'Cash Flows'!$BX$8+INDEX('Cash Flows'!$C$19:$BW$19,1,MATCH(EOMONTH(BC37,MOD(-MONTH(BC37),3)-3),'Cash Flows'!$C$4:$BW$4,0)))-SUM($AS$5,$AJ$5,$AA$5))/$E$15),MIN($E$26,(($I$5+'Cash Flows'!$BX$8+INDEX('Cash Flows'!$C$19:$BW$19,1,MATCH(EOMONTH(BC37,MOD(-MONTH(BC37),3)-3),'Cash Flows'!$C$4:$BW$4,0)))-SUM($AS$5,$AJ$5,$AA$5))/$E$15))),IF(BG37=0,"",BG37))</f>
        <v/>
      </c>
      <c r="BC37" s="112" t="str">
        <f t="shared" si="10"/>
        <v/>
      </c>
      <c r="BD37" s="139" t="str">
        <f>IFERROR(IF($Z37&gt;$E$12,"",IF($E$5="Uniform Inputs",INDEX($D$45:$E$53,MATCH($BB$3,$B$45:$B$53,0),MATCH(BD$4,$D$44:$E$44,0)),IF(BI37=0,"",BI37))),"")</f>
        <v/>
      </c>
      <c r="BE37" s="139" t="str">
        <f>IFERROR(IF($Z37&gt;$E$12,"",IF($E$5="Uniform Inputs",INDEX($D$45:$E$53,MATCH($BB$3,$B$45:$B$53,0),MATCH(BE$4,$D$44:$E$44,0)),IF(BJ37=0,"",BJ37))),"")</f>
        <v/>
      </c>
      <c r="BF37" s="10" t="str">
        <f t="shared" si="11"/>
        <v/>
      </c>
      <c r="BG37" s="11" t="s">
        <v>22</v>
      </c>
      <c r="BH37" s="168" t="s">
        <v>22</v>
      </c>
      <c r="BI37" s="11" t="s">
        <v>22</v>
      </c>
      <c r="BJ37" s="11" t="s">
        <v>22</v>
      </c>
      <c r="BK37" s="139" t="str">
        <f>IF($E$5="Uniform Inputs",IF($Z37&gt;$E$16,"",IF($E$23="Pro-Rata",MIN(BM37*BF37,(($I$5+'Cash Flows'!$BX$8+INDEX('Cash Flows'!$C$19:$BW$19,1,MATCH(EOMONTH(BL37,MOD(-MONTH(BL37),3)-3),'Cash Flows'!$C$4:$BW$4,0)))-SUM($BB$5,$AS$5,$AJ$5,$AA$5))/$E$16),MIN($E$27,(($I$5+'Cash Flows'!$BX$8+INDEX('Cash Flows'!$C$19:$BW$19,1,MATCH(EOMONTH(BL37,MOD(-MONTH(BL37),3)-3),'Cash Flows'!$C$4:$BW$4,0)))-SUM($BB$5,$AS$5,$AJ$5,$AA$5))/$E$16))),IF(BP37=0,"",BP37))</f>
        <v/>
      </c>
      <c r="BL37" s="112" t="str">
        <f t="shared" si="12"/>
        <v/>
      </c>
      <c r="BM37" s="139" t="str">
        <f>IFERROR(IF($Z37&gt;$E$12,"",IF($E$5="Uniform Inputs",INDEX($D$45:$E$53,MATCH($BK$3,$B$45:$B$53,0),MATCH(BM$4,$D$44:$E$44,0)),IF(BR37=0,"",BR37))),"")</f>
        <v/>
      </c>
      <c r="BN37" s="139" t="str">
        <f>IFERROR(IF($Z37&gt;$E$12,"",IF($E$5="Uniform Inputs",INDEX($D$45:$E$53,MATCH($BK$3,$B$45:$B$53,0),MATCH(BN$4,$D$44:$E$44,0)),IF(BS37=0,"",BS37))),"")</f>
        <v/>
      </c>
      <c r="BO37" s="10" t="str">
        <f t="shared" si="13"/>
        <v/>
      </c>
      <c r="BP37" s="11" t="s">
        <v>22</v>
      </c>
      <c r="BQ37" s="168" t="s">
        <v>22</v>
      </c>
      <c r="BR37" s="11" t="s">
        <v>22</v>
      </c>
      <c r="BS37" s="11" t="s">
        <v>22</v>
      </c>
      <c r="BT37" s="139" t="str">
        <f t="shared" si="30"/>
        <v/>
      </c>
      <c r="BU37" s="112" t="str">
        <f t="shared" si="14"/>
        <v/>
      </c>
      <c r="BV37" s="139" t="str">
        <f>IFERROR(IF($Z37&gt;$E$12,"",IF($E$5="Uniform Inputs",INDEX($D$45:$E$53,MATCH($BT$3,$B$45:$B$53,0),MATCH(BV$4,$D$44:$E$44,0)),IF(CA37=0,"",CA37))),"")</f>
        <v/>
      </c>
      <c r="BW37" s="139" t="str">
        <f>IFERROR(IF($Z37&gt;$E$12,"",IF($E$5="Uniform Inputs",INDEX($D$45:$E$53,MATCH($BT$3,$B$45:$B$53,0),MATCH(BW$4,$D$44:$E$44,0)),IF(CB37=0,"",CB37))),"")</f>
        <v/>
      </c>
      <c r="BX37" s="10" t="str">
        <f t="shared" si="15"/>
        <v/>
      </c>
      <c r="BY37" s="11" t="s">
        <v>22</v>
      </c>
      <c r="BZ37" s="168" t="s">
        <v>22</v>
      </c>
      <c r="CA37" s="11" t="s">
        <v>22</v>
      </c>
      <c r="CB37" s="11" t="s">
        <v>22</v>
      </c>
      <c r="CC37" s="139" t="str">
        <f t="shared" si="31"/>
        <v/>
      </c>
      <c r="CD37" s="112" t="str">
        <f t="shared" si="16"/>
        <v/>
      </c>
      <c r="CE37" s="139" t="str">
        <f>IFERROR(IF($Z37&gt;$E$12,"",IF($E$5="Uniform Inputs",INDEX($D$45:$E$53,MATCH($CC$3,$B$45:$B$53,0),MATCH(CE$4,$D$44:$E$44,0)),IF(CJ37=0,"",CJ37))),"")</f>
        <v/>
      </c>
      <c r="CF37" s="139" t="str">
        <f>IFERROR(IF($Z37&gt;$E$12,"",IF($E$5="Uniform Inputs",INDEX($D$45:$E$53,MATCH($CC$3,$B$45:$B$53,0),MATCH(CF$4,$D$44:$E$44,0)),IF(CK37=0,"",CK37))),"")</f>
        <v/>
      </c>
      <c r="CG37" s="10" t="str">
        <f t="shared" si="17"/>
        <v/>
      </c>
      <c r="CH37" s="11" t="s">
        <v>22</v>
      </c>
      <c r="CI37" s="168" t="s">
        <v>22</v>
      </c>
      <c r="CJ37" s="11" t="s">
        <v>22</v>
      </c>
      <c r="CK37" s="11" t="s">
        <v>22</v>
      </c>
      <c r="CL37" s="139" t="str">
        <f t="shared" si="32"/>
        <v/>
      </c>
      <c r="CM37" s="112" t="str">
        <f t="shared" si="18"/>
        <v/>
      </c>
      <c r="CN37" s="139" t="str">
        <f>IFERROR(IF($Z37&gt;$E$12,"",IF($E$5="Uniform Inputs",INDEX($D$45:$E$53,MATCH($CL$3,$B$45:$B$53,0),MATCH(CN$4,$D$44:$E$44,0)),IF(CS37=0,"",CS37))),"")</f>
        <v/>
      </c>
      <c r="CO37" s="139" t="str">
        <f>IFERROR(IF($Z37&gt;$E$12,"",IF($E$5="Uniform Inputs",INDEX($D$45:$E$53,MATCH($CL$3,$B$45:$B$53,0),MATCH(CO$4,$D$44:$E$44,0)),IF(CT37=0,"",CT37))),"")</f>
        <v/>
      </c>
      <c r="CP37" s="10" t="str">
        <f t="shared" si="19"/>
        <v/>
      </c>
      <c r="CQ37" s="11" t="s">
        <v>22</v>
      </c>
      <c r="CR37" s="168" t="s">
        <v>22</v>
      </c>
      <c r="CS37" s="11" t="s">
        <v>22</v>
      </c>
      <c r="CT37" s="11" t="s">
        <v>22</v>
      </c>
      <c r="CU37" s="139" t="str">
        <f t="shared" si="33"/>
        <v/>
      </c>
      <c r="CV37" s="112" t="str">
        <f t="shared" si="20"/>
        <v/>
      </c>
      <c r="CW37" s="139" t="str">
        <f>IFERROR(IF($Z37&gt;$E$12,"",IF($E$5="Uniform Inputs",INDEX($D$45:$E$53,MATCH($CU$3,$B$45:$B$53,0),MATCH(CW$4,$D$44:$E$44,0)),IF(DB37=0,"",DB37))),"")</f>
        <v/>
      </c>
      <c r="CX37" s="139" t="str">
        <f>IFERROR(IF($Z37&gt;$E$12,"",IF($E$5="Uniform Inputs",INDEX($D$45:$E$53,MATCH($CU$3,$B$45:$B$53,0),MATCH(CX$4,$D$44:$E$44,0)),IF(DC37=0,"",DC37))),"")</f>
        <v/>
      </c>
      <c r="CY37" s="10" t="str">
        <f t="shared" si="21"/>
        <v/>
      </c>
      <c r="CZ37" s="11" t="s">
        <v>22</v>
      </c>
      <c r="DA37" s="168" t="s">
        <v>22</v>
      </c>
      <c r="DB37" s="11" t="s">
        <v>22</v>
      </c>
      <c r="DC37" s="11" t="s">
        <v>22</v>
      </c>
    </row>
    <row r="38" spans="2:107" x14ac:dyDescent="0.25">
      <c r="B38" s="131" t="s">
        <v>103</v>
      </c>
      <c r="C38" s="128"/>
      <c r="D38" s="129"/>
      <c r="E38" s="66">
        <v>10</v>
      </c>
      <c r="G38" s="71">
        <v>4</v>
      </c>
      <c r="H38" s="162">
        <f ca="1">SUMIF('Cash Flows'!$C$2:$BW$2,Model!$G38,'Cash Flows'!$C$10:$BW$10)/'Cash Flows'!$BX$10</f>
        <v>9.0431818181818266E-2</v>
      </c>
      <c r="I38" s="162">
        <f ca="1">SUMIF('Cash Flows'!$C$2:$BW$2,Model!$G38,'Cash Flows'!$C$13:$BW$13)/-'Cash Flows'!$BX$10</f>
        <v>0</v>
      </c>
      <c r="K38" s="6" t="str">
        <f t="shared" si="22"/>
        <v/>
      </c>
      <c r="L38" s="32"/>
      <c r="M38" s="33"/>
      <c r="O38" s="6" t="str">
        <f t="shared" si="23"/>
        <v/>
      </c>
      <c r="P38" s="35" t="str">
        <f t="shared" ref="P38:P69" si="34">IF(AA38="",IF(AJ38="",IF(AS38="",IF(BB38="",IF(BK38="","",$BK$3),$BB$3),$AS$3),$AJ$3),$AA$3)</f>
        <v/>
      </c>
      <c r="Q38" s="102" t="str">
        <f t="shared" ref="Q38:Q69" si="35">IF($E$5="Uniform Inputs",AE38,IF(P38=$AA$3,AE38,IF(P38=$AJ$3,AN38,IF(P38=$AS$3,AW38,IF(P38=$BB$3,BF38,IF(P38=$BK$3,BO38,""))))))</f>
        <v/>
      </c>
      <c r="R38" s="102" t="str">
        <f t="shared" ref="R38:R69" ca="1" si="36">IFERROR(OFFSET($Z$6,MATCH($K38,$Z$6:$Z$105,0)-1,MATCH($M38,$AA$3:$CY$3,0)+4),"")</f>
        <v/>
      </c>
      <c r="S38" s="112" t="str">
        <f t="shared" si="24"/>
        <v/>
      </c>
      <c r="T38" s="112" t="str">
        <f t="shared" ref="T38:T69" ca="1" si="37">IFERROR(IF($E$5="Uniform Inputs",OFFSET($Z$6,MATCH($K38,$Z$6:$Z$105,0)-1,MATCH($M38,$AA$3:$CY$3,0)+1)+(365*$E$28),OFFSET($Z$6,MATCH($K38,$Z$6:$Z$105,0)-1,MATCH($M38,$AA$3:$CY$3,0)+6)+(365*$E$28)),"")</f>
        <v/>
      </c>
      <c r="U38" s="1" t="str">
        <f t="shared" si="25"/>
        <v/>
      </c>
      <c r="V38" s="1" t="str">
        <f t="shared" ref="V38:V69" ca="1" si="38">IFERROR(R38*L38,"")</f>
        <v/>
      </c>
      <c r="W38" s="34" t="str">
        <f t="shared" ca="1" si="26"/>
        <v/>
      </c>
      <c r="Y38" s="2">
        <v>33</v>
      </c>
      <c r="Z38" s="6" t="str">
        <f t="shared" si="27"/>
        <v/>
      </c>
      <c r="AA38" s="139" t="str">
        <f>IF($E$5="Uniform Inputs",IF($Z38&gt;$E$12,"",MIN($E$21,($I$5+'Cash Flows'!$BX$8+INDEX('Cash Flows'!$C$19:$BW$19,1,MATCH(EOMONTH(AB38,MOD(-MONTH(AB38),3)-3),'Cash Flows'!$C$4:$BW$4,0)))/$E$12)),IF(AF38&gt;0,AF38,""))</f>
        <v/>
      </c>
      <c r="AB38" s="112" t="str">
        <f t="shared" si="28"/>
        <v/>
      </c>
      <c r="AC38" s="139" t="str">
        <f>IFERROR(IF($Z38&gt;$E$12,"",IF($E$5="Uniform Inputs",INDEX($D$45:$E$53,MATCH($AA$3,$B$45:$B$53,0),MATCH(AC$4,$D$44:$E$44,0)),IF(AH38=0,"",AH38))),"")</f>
        <v/>
      </c>
      <c r="AD38" s="139" t="str">
        <f>IFERROR(IF($Z38&gt;$E$12,"",IF($E$5="Uniform Inputs",INDEX($D$45:$E$53,MATCH($AA$3,$B$45:$B$53,0),MATCH(AD$4,$D$44:$E$44,0)),IF(AI38=0,"",AI38))),"")</f>
        <v/>
      </c>
      <c r="AE38" s="10" t="str">
        <f t="shared" si="29"/>
        <v/>
      </c>
      <c r="AF38" s="11" t="s">
        <v>22</v>
      </c>
      <c r="AG38" s="168" t="s">
        <v>22</v>
      </c>
      <c r="AH38" s="11" t="s">
        <v>22</v>
      </c>
      <c r="AI38" s="11" t="s">
        <v>22</v>
      </c>
      <c r="AJ38" s="139" t="str">
        <f>IF($E$5="Uniform Inputs",IF($Z38&gt;$E$13,"",IF($E$23="Pro-Rata",MIN(AL38*AE38,(($I$5+'Cash Flows'!$BX$8+INDEX('Cash Flows'!$C$19:$BW$19,1,MATCH(EOMONTH(AK38,MOD(-MONTH(AK38),3)-3),'Cash Flows'!$C$4:$BW$4,0)))-$AA$5)/$E$13),MIN($E$24,(($I$5+'Cash Flows'!$BX$8+INDEX('Cash Flows'!$C$19:$BW$19,1,MATCH(EOMONTH(AK38,MOD(-MONTH(AK38),3)-3),'Cash Flows'!$C$4:$BW$4,0)))-$AA$5)/$E$13))),IF(AO38=0,"",AO38))</f>
        <v/>
      </c>
      <c r="AK38" s="112" t="str">
        <f t="shared" ref="AK38:AK69" si="39">IF($E$5="Uniform Inputs",IF($Z38&gt;$E$12,"",AB38+(365*$E$28)),IF(AP38=0,"",AP38))</f>
        <v/>
      </c>
      <c r="AL38" s="139" t="str">
        <f>IFERROR(IF($Z38&gt;$E$12,"",IF($E$5="Uniform Inputs",INDEX($D$45:$E$53,MATCH($AJ$3,$B$45:$B$53,0),MATCH(AL$4,$D$44:$E$44,0)),IF(AQ38=0,"",AQ38))),"")</f>
        <v/>
      </c>
      <c r="AM38" s="139" t="str">
        <f>IFERROR(IF($Z38&gt;$E$12,"",IF($E$5="Uniform Inputs",INDEX($D$45:$E$53,MATCH($AJ$3,$B$45:$B$53,0),MATCH(AM$4,$D$44:$E$44,0)),IF(AR38=0,"",AR38))),"")</f>
        <v/>
      </c>
      <c r="AN38" s="10" t="str">
        <f t="shared" ref="AN38:AN69" si="40">IFERROR(IF($E$5="Uniform Inputs",(AE38*(AM38-AL38)+IF(AJ38="",0,AJ38))/AM38,IF(AE38="",AJ38/AM38,(AE38*(AM38-AL38)+IF(AJ38="",0,AJ38))/AM38)),"")</f>
        <v/>
      </c>
      <c r="AO38" s="11" t="s">
        <v>22</v>
      </c>
      <c r="AP38" s="168" t="s">
        <v>22</v>
      </c>
      <c r="AQ38" s="11" t="s">
        <v>22</v>
      </c>
      <c r="AR38" s="11" t="s">
        <v>22</v>
      </c>
      <c r="AS38" s="139" t="str">
        <f>IF($E$5="Uniform Inputs",IF($Z38&gt;$E$14,"",IF($E$23="Pro-Rata",MIN(AU38*AN38,(($I$5+'Cash Flows'!$BX$8+INDEX('Cash Flows'!$C$19:$BW$19,1,MATCH(EOMONTH(AT38,MOD(-MONTH(AT38),3)-3),'Cash Flows'!$C$4:$BW$4,0)))-SUM($AJ$5,$AA$5))/$E$14),MIN($E$25,(($I$5+'Cash Flows'!$BX$8+INDEX('Cash Flows'!$C$19:$BW$19,1,MATCH(EOMONTH(AT38,MOD(-MONTH(AT38),3)-3),'Cash Flows'!$C$4:$BW$4,0)))-SUM($AJ$5,$AA$5))/$E$14))),IF(AX38=0,"",AX38))</f>
        <v/>
      </c>
      <c r="AT38" s="112" t="str">
        <f t="shared" ref="AT38:AT69" si="41">IF($E$5="Uniform Inputs",IF($Z38&gt;$E$12,"",AK38+(365*$E$28)),IF(AY38=0,"",AY38))</f>
        <v/>
      </c>
      <c r="AU38" s="139" t="str">
        <f>IFERROR(IF($Z38&gt;$E$12,"",IF($E$5="Uniform Inputs",INDEX($D$45:$E$53,MATCH($AS$3,$B$45:$B$53,0),MATCH(AU$4,$D$44:$E$44,0)),IF(AZ38=0,"",AZ38))),"")</f>
        <v/>
      </c>
      <c r="AV38" s="139" t="str">
        <f>IFERROR(IF($Z38&gt;$E$12,"",IF($E$5="Uniform Inputs",INDEX($D$45:$E$53,MATCH($AS$3,$B$45:$B$53,0),MATCH(AV$4,$D$44:$E$44,0)),IF(BA38=0,"",BA38))),"")</f>
        <v/>
      </c>
      <c r="AW38" s="10" t="str">
        <f t="shared" ref="AW38:AW69" si="42">IFERROR(IF($E$5="Uniform Inputs",(AN38*(AV38-AU38)+IF(AS38="",0,AS38))/AV38,IF(AN38="",AS38/AV38,(AN38*(AV38-AU38)+IF(AS38="",0,AS38))/AV38)),"")</f>
        <v/>
      </c>
      <c r="AX38" s="11" t="s">
        <v>22</v>
      </c>
      <c r="AY38" s="168" t="s">
        <v>22</v>
      </c>
      <c r="AZ38" s="11" t="s">
        <v>22</v>
      </c>
      <c r="BA38" s="11" t="s">
        <v>22</v>
      </c>
      <c r="BB38" s="139" t="str">
        <f>IF($E$5="Uniform Inputs",IF($Z38&gt;$E$15,"",IF($E$23="Pro-Rata",MIN(BD38*AW38,(($I$5+'Cash Flows'!$BX$8+INDEX('Cash Flows'!$C$19:$BW$19,1,MATCH(EOMONTH(BC38,MOD(-MONTH(BC38),3)-3),'Cash Flows'!$C$4:$BW$4,0)))-SUM($AS$5,$AJ$5,$AA$5))/$E$15),MIN($E$26,(($I$5+'Cash Flows'!$BX$8+INDEX('Cash Flows'!$C$19:$BW$19,1,MATCH(EOMONTH(BC38,MOD(-MONTH(BC38),3)-3),'Cash Flows'!$C$4:$BW$4,0)))-SUM($AS$5,$AJ$5,$AA$5))/$E$15))),IF(BG38=0,"",BG38))</f>
        <v/>
      </c>
      <c r="BC38" s="112" t="str">
        <f t="shared" ref="BC38:BC69" si="43">IF($E$5="Uniform Inputs",IF($Z38&gt;$E$12,"",AT38+(365*$E$28)),IF(BH38=0,"",BH38))</f>
        <v/>
      </c>
      <c r="BD38" s="139" t="str">
        <f>IFERROR(IF($Z38&gt;$E$12,"",IF($E$5="Uniform Inputs",INDEX($D$45:$E$53,MATCH($BB$3,$B$45:$B$53,0),MATCH(BD$4,$D$44:$E$44,0)),IF(BI38=0,"",BI38))),"")</f>
        <v/>
      </c>
      <c r="BE38" s="139" t="str">
        <f>IFERROR(IF($Z38&gt;$E$12,"",IF($E$5="Uniform Inputs",INDEX($D$45:$E$53,MATCH($BB$3,$B$45:$B$53,0),MATCH(BE$4,$D$44:$E$44,0)),IF(BJ38=0,"",BJ38))),"")</f>
        <v/>
      </c>
      <c r="BF38" s="10" t="str">
        <f t="shared" ref="BF38:BF69" si="44">IFERROR(IF($E$5="Uniform Inputs",(AW38*(BE38-BD38)+IF(BB38="",0,BB38))/BE38,IF(AW38="",BB38/BE38,(AW38*(BE38-BD38)+IF(BB38="",0,BB38))/BE38)),"")</f>
        <v/>
      </c>
      <c r="BG38" s="11" t="s">
        <v>22</v>
      </c>
      <c r="BH38" s="168" t="s">
        <v>22</v>
      </c>
      <c r="BI38" s="11" t="s">
        <v>22</v>
      </c>
      <c r="BJ38" s="11" t="s">
        <v>22</v>
      </c>
      <c r="BK38" s="139" t="str">
        <f>IF($E$5="Uniform Inputs",IF($Z38&gt;$E$16,"",IF($E$23="Pro-Rata",MIN(BM38*BF38,(($I$5+'Cash Flows'!$BX$8+INDEX('Cash Flows'!$C$19:$BW$19,1,MATCH(EOMONTH(BL38,MOD(-MONTH(BL38),3)-3),'Cash Flows'!$C$4:$BW$4,0)))-SUM($BB$5,$AS$5,$AJ$5,$AA$5))/$E$16),MIN($E$27,(($I$5+'Cash Flows'!$BX$8+INDEX('Cash Flows'!$C$19:$BW$19,1,MATCH(EOMONTH(BL38,MOD(-MONTH(BL38),3)-3),'Cash Flows'!$C$4:$BW$4,0)))-SUM($BB$5,$AS$5,$AJ$5,$AA$5))/$E$16))),IF(BP38=0,"",BP38))</f>
        <v/>
      </c>
      <c r="BL38" s="112" t="str">
        <f t="shared" ref="BL38:BL69" si="45">IF($E$5="Uniform Inputs",IF($Z38&gt;$E$12,"",BC38+(365*$E$28)),IF(BQ38=0,"",BQ38))</f>
        <v/>
      </c>
      <c r="BM38" s="139" t="str">
        <f>IFERROR(IF($Z38&gt;$E$12,"",IF($E$5="Uniform Inputs",INDEX($D$45:$E$53,MATCH($BK$3,$B$45:$B$53,0),MATCH(BM$4,$D$44:$E$44,0)),IF(BR38=0,"",BR38))),"")</f>
        <v/>
      </c>
      <c r="BN38" s="139" t="str">
        <f>IFERROR(IF($Z38&gt;$E$12,"",IF($E$5="Uniform Inputs",INDEX($D$45:$E$53,MATCH($BK$3,$B$45:$B$53,0),MATCH(BN$4,$D$44:$E$44,0)),IF(BS38=0,"",BS38))),"")</f>
        <v/>
      </c>
      <c r="BO38" s="10" t="str">
        <f t="shared" ref="BO38:BO69" si="46">IFERROR(IF($E$5="Uniform Inputs",(BF38*(BN38-BM38)+IF(BK38="",0,BK38))/BN38,IF(BF38="",BK38/BN38,(BF38*(BN38-BM38)+IF(BK38="",0,BK38))/BN38)),"")</f>
        <v/>
      </c>
      <c r="BP38" s="11" t="s">
        <v>22</v>
      </c>
      <c r="BQ38" s="168" t="s">
        <v>22</v>
      </c>
      <c r="BR38" s="11" t="s">
        <v>22</v>
      </c>
      <c r="BS38" s="11" t="s">
        <v>22</v>
      </c>
      <c r="BT38" s="139" t="str">
        <f t="shared" si="30"/>
        <v/>
      </c>
      <c r="BU38" s="112" t="str">
        <f t="shared" ref="BU38:BU69" si="47">IF($E$5="Uniform Inputs",IF($Z38&gt;$E$12,"",BL38+(365*$E$28)),IF(BZ38=0,"",BZ38))</f>
        <v/>
      </c>
      <c r="BV38" s="139" t="str">
        <f>IFERROR(IF($Z38&gt;$E$12,"",IF($E$5="Uniform Inputs",INDEX($D$45:$E$53,MATCH($BT$3,$B$45:$B$53,0),MATCH(BV$4,$D$44:$E$44,0)),IF(CA38=0,"",CA38))),"")</f>
        <v/>
      </c>
      <c r="BW38" s="139" t="str">
        <f>IFERROR(IF($Z38&gt;$E$12,"",IF($E$5="Uniform Inputs",INDEX($D$45:$E$53,MATCH($BT$3,$B$45:$B$53,0),MATCH(BW$4,$D$44:$E$44,0)),IF(CB38=0,"",CB38))),"")</f>
        <v/>
      </c>
      <c r="BX38" s="10" t="str">
        <f t="shared" ref="BX38:BX69" si="48">IFERROR(IF($E$5="Uniform Inputs",(BO38*(BW38-BV38)+IF(BT38="",0,BT38))/BW38,IF(BO38="",BT38/BW38,(BO38*(BW38-BV38)+IF(BT38="",0,BT38))/BW38)),"")</f>
        <v/>
      </c>
      <c r="BY38" s="11" t="s">
        <v>22</v>
      </c>
      <c r="BZ38" s="168" t="s">
        <v>22</v>
      </c>
      <c r="CA38" s="11" t="s">
        <v>22</v>
      </c>
      <c r="CB38" s="11" t="s">
        <v>22</v>
      </c>
      <c r="CC38" s="139" t="str">
        <f t="shared" si="31"/>
        <v/>
      </c>
      <c r="CD38" s="112" t="str">
        <f t="shared" ref="CD38:CD69" si="49">IF($E$5="Uniform Inputs",IF($Z38&gt;$E$12,"",BU38+(365*$E$28)),IF(CI38=0,"",CI38))</f>
        <v/>
      </c>
      <c r="CE38" s="139" t="str">
        <f>IFERROR(IF($Z38&gt;$E$12,"",IF($E$5="Uniform Inputs",INDEX($D$45:$E$53,MATCH($CC$3,$B$45:$B$53,0),MATCH(CE$4,$D$44:$E$44,0)),IF(CJ38=0,"",CJ38))),"")</f>
        <v/>
      </c>
      <c r="CF38" s="139" t="str">
        <f>IFERROR(IF($Z38&gt;$E$12,"",IF($E$5="Uniform Inputs",INDEX($D$45:$E$53,MATCH($CC$3,$B$45:$B$53,0),MATCH(CF$4,$D$44:$E$44,0)),IF(CK38=0,"",CK38))),"")</f>
        <v/>
      </c>
      <c r="CG38" s="10" t="str">
        <f t="shared" ref="CG38:CG69" si="50">IFERROR(IF($E$5="Uniform Inputs",(BX38*(CF38-CE38)+IF(CC38="",0,CC38))/CF38,IF(BX38="",CC38/CF38,(BX38*(CF38-CE38)+IF(CC38="",0,CC38))/CF38)),"")</f>
        <v/>
      </c>
      <c r="CH38" s="11" t="s">
        <v>22</v>
      </c>
      <c r="CI38" s="168" t="s">
        <v>22</v>
      </c>
      <c r="CJ38" s="11" t="s">
        <v>22</v>
      </c>
      <c r="CK38" s="11" t="s">
        <v>22</v>
      </c>
      <c r="CL38" s="139" t="str">
        <f t="shared" si="32"/>
        <v/>
      </c>
      <c r="CM38" s="112" t="str">
        <f t="shared" ref="CM38:CM69" si="51">IF($E$5="Uniform Inputs",IF($Z38&gt;$E$12,"",CD38+(365*$E$28)),IF(CR38=0,"",CR38))</f>
        <v/>
      </c>
      <c r="CN38" s="139" t="str">
        <f>IFERROR(IF($Z38&gt;$E$12,"",IF($E$5="Uniform Inputs",INDEX($D$45:$E$53,MATCH($CL$3,$B$45:$B$53,0),MATCH(CN$4,$D$44:$E$44,0)),IF(CS38=0,"",CS38))),"")</f>
        <v/>
      </c>
      <c r="CO38" s="139" t="str">
        <f>IFERROR(IF($Z38&gt;$E$12,"",IF($E$5="Uniform Inputs",INDEX($D$45:$E$53,MATCH($CL$3,$B$45:$B$53,0),MATCH(CO$4,$D$44:$E$44,0)),IF(CT38=0,"",CT38))),"")</f>
        <v/>
      </c>
      <c r="CP38" s="10" t="str">
        <f t="shared" ref="CP38:CP69" si="52">IFERROR(IF($E$5="Uniform Inputs",(CG38*(CO38-CN38)+IF(CL38="",0,CL38))/CO38,IF(CG38="",CL38/CO38,(CG38*(CO38-CN38)+IF(CL38="",0,CL38))/CO38)),"")</f>
        <v/>
      </c>
      <c r="CQ38" s="11" t="s">
        <v>22</v>
      </c>
      <c r="CR38" s="168" t="s">
        <v>22</v>
      </c>
      <c r="CS38" s="11" t="s">
        <v>22</v>
      </c>
      <c r="CT38" s="11" t="s">
        <v>22</v>
      </c>
      <c r="CU38" s="139" t="str">
        <f t="shared" si="33"/>
        <v/>
      </c>
      <c r="CV38" s="112" t="str">
        <f t="shared" ref="CV38:CV69" si="53">IF($E$5="Uniform Inputs",IF($Z38&gt;$E$12,"",CM38+(365*$E$28)),IF(DA38=0,"",DA38))</f>
        <v/>
      </c>
      <c r="CW38" s="139" t="str">
        <f>IFERROR(IF($Z38&gt;$E$12,"",IF($E$5="Uniform Inputs",INDEX($D$45:$E$53,MATCH($CU$3,$B$45:$B$53,0),MATCH(CW$4,$D$44:$E$44,0)),IF(DB38=0,"",DB38))),"")</f>
        <v/>
      </c>
      <c r="CX38" s="139" t="str">
        <f>IFERROR(IF($Z38&gt;$E$12,"",IF($E$5="Uniform Inputs",INDEX($D$45:$E$53,MATCH($CU$3,$B$45:$B$53,0),MATCH(CX$4,$D$44:$E$44,0)),IF(DC38=0,"",DC38))),"")</f>
        <v/>
      </c>
      <c r="CY38" s="10" t="str">
        <f t="shared" ref="CY38:CY69" si="54">IFERROR(IF($E$5="Uniform Inputs",(CP38*(CX38-CW38)+IF(CU38="",0,CU38))/CX38,IF(CP38="",CU38/CX38,(CP38*(CX38-CW38)+IF(CU38="",0,CU38))/CX38)),"")</f>
        <v/>
      </c>
      <c r="CZ38" s="11" t="s">
        <v>22</v>
      </c>
      <c r="DA38" s="168" t="s">
        <v>22</v>
      </c>
      <c r="DB38" s="11" t="s">
        <v>22</v>
      </c>
      <c r="DC38" s="11" t="s">
        <v>22</v>
      </c>
    </row>
    <row r="39" spans="2:107" x14ac:dyDescent="0.25">
      <c r="B39" s="132" t="s">
        <v>104</v>
      </c>
      <c r="C39" s="128"/>
      <c r="D39" s="129"/>
      <c r="E39" s="66">
        <v>5</v>
      </c>
      <c r="G39" s="71">
        <v>5</v>
      </c>
      <c r="H39" s="162">
        <f ca="1">SUMIF('Cash Flows'!$C$2:$BW$2,Model!$G39,'Cash Flows'!$C$10:$BW$10)/'Cash Flows'!$BX$10</f>
        <v>2.0999999999999998E-2</v>
      </c>
      <c r="I39" s="162">
        <f ca="1">SUMIF('Cash Flows'!$C$2:$BW$2,Model!$G39,'Cash Flows'!$C$13:$BW$13)/-'Cash Flows'!$BX$10</f>
        <v>0</v>
      </c>
      <c r="K39" s="6" t="str">
        <f t="shared" si="22"/>
        <v/>
      </c>
      <c r="L39" s="32"/>
      <c r="M39" s="33"/>
      <c r="O39" s="6" t="str">
        <f t="shared" si="23"/>
        <v/>
      </c>
      <c r="P39" s="35" t="str">
        <f t="shared" si="34"/>
        <v/>
      </c>
      <c r="Q39" s="102" t="str">
        <f t="shared" si="35"/>
        <v/>
      </c>
      <c r="R39" s="102" t="str">
        <f t="shared" ca="1" si="36"/>
        <v/>
      </c>
      <c r="S39" s="112" t="str">
        <f t="shared" si="24"/>
        <v/>
      </c>
      <c r="T39" s="112" t="str">
        <f t="shared" ca="1" si="37"/>
        <v/>
      </c>
      <c r="U39" s="1" t="str">
        <f t="shared" si="25"/>
        <v/>
      </c>
      <c r="V39" s="1" t="str">
        <f t="shared" ca="1" si="38"/>
        <v/>
      </c>
      <c r="W39" s="34" t="str">
        <f t="shared" ca="1" si="26"/>
        <v/>
      </c>
      <c r="Y39" s="2">
        <v>34</v>
      </c>
      <c r="Z39" s="6" t="str">
        <f t="shared" si="27"/>
        <v/>
      </c>
      <c r="AA39" s="139" t="str">
        <f>IF($E$5="Uniform Inputs",IF($Z39&gt;$E$12,"",MIN($E$21,($I$5+'Cash Flows'!$BX$8+INDEX('Cash Flows'!$C$19:$BW$19,1,MATCH(EOMONTH(AB39,MOD(-MONTH(AB39),3)-3),'Cash Flows'!$C$4:$BW$4,0)))/$E$12)),IF(AF39&gt;0,AF39,""))</f>
        <v/>
      </c>
      <c r="AB39" s="112" t="str">
        <f t="shared" ref="AB39:AB70" si="55">IF($E$5="Uniform Inputs",IF($Z39&gt;$E$12,"",AB38+(30/$E$17)),IF(AG39="","",AG39))</f>
        <v/>
      </c>
      <c r="AC39" s="139" t="str">
        <f>IFERROR(IF($Z39&gt;$E$12,"",IF($E$5="Uniform Inputs",INDEX($D$45:$E$53,MATCH($AA$3,$B$45:$B$53,0),MATCH(AC$4,$D$44:$E$44,0)),IF(AH39=0,"",AH39))),"")</f>
        <v/>
      </c>
      <c r="AD39" s="139" t="str">
        <f>IFERROR(IF($Z39&gt;$E$12,"",IF($E$5="Uniform Inputs",INDEX($D$45:$E$53,MATCH($AA$3,$B$45:$B$53,0),MATCH(AD$4,$D$44:$E$44,0)),IF(AI39=0,"",AI39))),"")</f>
        <v/>
      </c>
      <c r="AE39" s="10" t="str">
        <f t="shared" si="29"/>
        <v/>
      </c>
      <c r="AF39" s="11" t="s">
        <v>22</v>
      </c>
      <c r="AG39" s="168" t="s">
        <v>22</v>
      </c>
      <c r="AH39" s="11" t="s">
        <v>22</v>
      </c>
      <c r="AI39" s="11" t="s">
        <v>22</v>
      </c>
      <c r="AJ39" s="139" t="str">
        <f>IF($E$5="Uniform Inputs",IF($Z39&gt;$E$13,"",IF($E$23="Pro-Rata",MIN(AL39*AE39,(($I$5+'Cash Flows'!$BX$8+INDEX('Cash Flows'!$C$19:$BW$19,1,MATCH(EOMONTH(AK39,MOD(-MONTH(AK39),3)-3),'Cash Flows'!$C$4:$BW$4,0)))-$AA$5)/$E$13),MIN($E$24,(($I$5+'Cash Flows'!$BX$8+INDEX('Cash Flows'!$C$19:$BW$19,1,MATCH(EOMONTH(AK39,MOD(-MONTH(AK39),3)-3),'Cash Flows'!$C$4:$BW$4,0)))-$AA$5)/$E$13))),IF(AO39=0,"",AO39))</f>
        <v/>
      </c>
      <c r="AK39" s="112" t="str">
        <f t="shared" si="39"/>
        <v/>
      </c>
      <c r="AL39" s="139" t="str">
        <f>IFERROR(IF($Z39&gt;$E$12,"",IF($E$5="Uniform Inputs",INDEX($D$45:$E$53,MATCH($AJ$3,$B$45:$B$53,0),MATCH(AL$4,$D$44:$E$44,0)),IF(AQ39=0,"",AQ39))),"")</f>
        <v/>
      </c>
      <c r="AM39" s="139" t="str">
        <f>IFERROR(IF($Z39&gt;$E$12,"",IF($E$5="Uniform Inputs",INDEX($D$45:$E$53,MATCH($AJ$3,$B$45:$B$53,0),MATCH(AM$4,$D$44:$E$44,0)),IF(AR39=0,"",AR39))),"")</f>
        <v/>
      </c>
      <c r="AN39" s="10" t="str">
        <f t="shared" si="40"/>
        <v/>
      </c>
      <c r="AO39" s="11" t="s">
        <v>22</v>
      </c>
      <c r="AP39" s="168" t="s">
        <v>22</v>
      </c>
      <c r="AQ39" s="11" t="s">
        <v>22</v>
      </c>
      <c r="AR39" s="11" t="s">
        <v>22</v>
      </c>
      <c r="AS39" s="139" t="str">
        <f>IF($E$5="Uniform Inputs",IF($Z39&gt;$E$14,"",IF($E$23="Pro-Rata",MIN(AU39*AN39,(($I$5+'Cash Flows'!$BX$8+INDEX('Cash Flows'!$C$19:$BW$19,1,MATCH(EOMONTH(AT39,MOD(-MONTH(AT39),3)-3),'Cash Flows'!$C$4:$BW$4,0)))-SUM($AJ$5,$AA$5))/$E$14),MIN($E$25,(($I$5+'Cash Flows'!$BX$8+INDEX('Cash Flows'!$C$19:$BW$19,1,MATCH(EOMONTH(AT39,MOD(-MONTH(AT39),3)-3),'Cash Flows'!$C$4:$BW$4,0)))-SUM($AJ$5,$AA$5))/$E$14))),IF(AX39=0,"",AX39))</f>
        <v/>
      </c>
      <c r="AT39" s="112" t="str">
        <f t="shared" si="41"/>
        <v/>
      </c>
      <c r="AU39" s="139" t="str">
        <f>IFERROR(IF($Z39&gt;$E$12,"",IF($E$5="Uniform Inputs",INDEX($D$45:$E$53,MATCH($AS$3,$B$45:$B$53,0),MATCH(AU$4,$D$44:$E$44,0)),IF(AZ39=0,"",AZ39))),"")</f>
        <v/>
      </c>
      <c r="AV39" s="139" t="str">
        <f>IFERROR(IF($Z39&gt;$E$12,"",IF($E$5="Uniform Inputs",INDEX($D$45:$E$53,MATCH($AS$3,$B$45:$B$53,0),MATCH(AV$4,$D$44:$E$44,0)),IF(BA39=0,"",BA39))),"")</f>
        <v/>
      </c>
      <c r="AW39" s="10" t="str">
        <f t="shared" si="42"/>
        <v/>
      </c>
      <c r="AX39" s="11" t="s">
        <v>22</v>
      </c>
      <c r="AY39" s="168" t="s">
        <v>22</v>
      </c>
      <c r="AZ39" s="11" t="s">
        <v>22</v>
      </c>
      <c r="BA39" s="11" t="s">
        <v>22</v>
      </c>
      <c r="BB39" s="139" t="str">
        <f>IF($E$5="Uniform Inputs",IF($Z39&gt;$E$15,"",IF($E$23="Pro-Rata",MIN(BD39*AW39,(($I$5+'Cash Flows'!$BX$8+INDEX('Cash Flows'!$C$19:$BW$19,1,MATCH(EOMONTH(BC39,MOD(-MONTH(BC39),3)-3),'Cash Flows'!$C$4:$BW$4,0)))-SUM($AS$5,$AJ$5,$AA$5))/$E$15),MIN($E$26,(($I$5+'Cash Flows'!$BX$8+INDEX('Cash Flows'!$C$19:$BW$19,1,MATCH(EOMONTH(BC39,MOD(-MONTH(BC39),3)-3),'Cash Flows'!$C$4:$BW$4,0)))-SUM($AS$5,$AJ$5,$AA$5))/$E$15))),IF(BG39=0,"",BG39))</f>
        <v/>
      </c>
      <c r="BC39" s="112" t="str">
        <f t="shared" si="43"/>
        <v/>
      </c>
      <c r="BD39" s="139" t="str">
        <f>IFERROR(IF($Z39&gt;$E$12,"",IF($E$5="Uniform Inputs",INDEX($D$45:$E$53,MATCH($BB$3,$B$45:$B$53,0),MATCH(BD$4,$D$44:$E$44,0)),IF(BI39=0,"",BI39))),"")</f>
        <v/>
      </c>
      <c r="BE39" s="139" t="str">
        <f>IFERROR(IF($Z39&gt;$E$12,"",IF($E$5="Uniform Inputs",INDEX($D$45:$E$53,MATCH($BB$3,$B$45:$B$53,0),MATCH(BE$4,$D$44:$E$44,0)),IF(BJ39=0,"",BJ39))),"")</f>
        <v/>
      </c>
      <c r="BF39" s="10" t="str">
        <f t="shared" si="44"/>
        <v/>
      </c>
      <c r="BG39" s="11" t="s">
        <v>22</v>
      </c>
      <c r="BH39" s="168" t="s">
        <v>22</v>
      </c>
      <c r="BI39" s="11" t="s">
        <v>22</v>
      </c>
      <c r="BJ39" s="11" t="s">
        <v>22</v>
      </c>
      <c r="BK39" s="139" t="str">
        <f>IF($E$5="Uniform Inputs",IF($Z39&gt;$E$16,"",IF($E$23="Pro-Rata",MIN(BM39*BF39,(($I$5+'Cash Flows'!$BX$8+INDEX('Cash Flows'!$C$19:$BW$19,1,MATCH(EOMONTH(BL39,MOD(-MONTH(BL39),3)-3),'Cash Flows'!$C$4:$BW$4,0)))-SUM($BB$5,$AS$5,$AJ$5,$AA$5))/$E$16),MIN($E$27,(($I$5+'Cash Flows'!$BX$8+INDEX('Cash Flows'!$C$19:$BW$19,1,MATCH(EOMONTH(BL39,MOD(-MONTH(BL39),3)-3),'Cash Flows'!$C$4:$BW$4,0)))-SUM($BB$5,$AS$5,$AJ$5,$AA$5))/$E$16))),IF(BP39=0,"",BP39))</f>
        <v/>
      </c>
      <c r="BL39" s="112" t="str">
        <f t="shared" si="45"/>
        <v/>
      </c>
      <c r="BM39" s="139" t="str">
        <f>IFERROR(IF($Z39&gt;$E$12,"",IF($E$5="Uniform Inputs",INDEX($D$45:$E$53,MATCH($BK$3,$B$45:$B$53,0),MATCH(BM$4,$D$44:$E$44,0)),IF(BR39=0,"",BR39))),"")</f>
        <v/>
      </c>
      <c r="BN39" s="139" t="str">
        <f>IFERROR(IF($Z39&gt;$E$12,"",IF($E$5="Uniform Inputs",INDEX($D$45:$E$53,MATCH($BK$3,$B$45:$B$53,0),MATCH(BN$4,$D$44:$E$44,0)),IF(BS39=0,"",BS39))),"")</f>
        <v/>
      </c>
      <c r="BO39" s="10" t="str">
        <f t="shared" si="46"/>
        <v/>
      </c>
      <c r="BP39" s="11" t="s">
        <v>22</v>
      </c>
      <c r="BQ39" s="168" t="s">
        <v>22</v>
      </c>
      <c r="BR39" s="11" t="s">
        <v>22</v>
      </c>
      <c r="BS39" s="11" t="s">
        <v>22</v>
      </c>
      <c r="BT39" s="139" t="str">
        <f t="shared" si="30"/>
        <v/>
      </c>
      <c r="BU39" s="112" t="str">
        <f t="shared" si="47"/>
        <v/>
      </c>
      <c r="BV39" s="139" t="str">
        <f>IFERROR(IF($Z39&gt;$E$12,"",IF($E$5="Uniform Inputs",INDEX($D$45:$E$53,MATCH($BT$3,$B$45:$B$53,0),MATCH(BV$4,$D$44:$E$44,0)),IF(CA39=0,"",CA39))),"")</f>
        <v/>
      </c>
      <c r="BW39" s="139" t="str">
        <f>IFERROR(IF($Z39&gt;$E$12,"",IF($E$5="Uniform Inputs",INDEX($D$45:$E$53,MATCH($BT$3,$B$45:$B$53,0),MATCH(BW$4,$D$44:$E$44,0)),IF(CB39=0,"",CB39))),"")</f>
        <v/>
      </c>
      <c r="BX39" s="10" t="str">
        <f t="shared" si="48"/>
        <v/>
      </c>
      <c r="BY39" s="11" t="s">
        <v>22</v>
      </c>
      <c r="BZ39" s="168" t="s">
        <v>22</v>
      </c>
      <c r="CA39" s="11" t="s">
        <v>22</v>
      </c>
      <c r="CB39" s="11" t="s">
        <v>22</v>
      </c>
      <c r="CC39" s="139" t="str">
        <f t="shared" si="31"/>
        <v/>
      </c>
      <c r="CD39" s="112" t="str">
        <f t="shared" si="49"/>
        <v/>
      </c>
      <c r="CE39" s="139" t="str">
        <f>IFERROR(IF($Z39&gt;$E$12,"",IF($E$5="Uniform Inputs",INDEX($D$45:$E$53,MATCH($CC$3,$B$45:$B$53,0),MATCH(CE$4,$D$44:$E$44,0)),IF(CJ39=0,"",CJ39))),"")</f>
        <v/>
      </c>
      <c r="CF39" s="139" t="str">
        <f>IFERROR(IF($Z39&gt;$E$12,"",IF($E$5="Uniform Inputs",INDEX($D$45:$E$53,MATCH($CC$3,$B$45:$B$53,0),MATCH(CF$4,$D$44:$E$44,0)),IF(CK39=0,"",CK39))),"")</f>
        <v/>
      </c>
      <c r="CG39" s="10" t="str">
        <f t="shared" si="50"/>
        <v/>
      </c>
      <c r="CH39" s="11" t="s">
        <v>22</v>
      </c>
      <c r="CI39" s="168" t="s">
        <v>22</v>
      </c>
      <c r="CJ39" s="11" t="s">
        <v>22</v>
      </c>
      <c r="CK39" s="11" t="s">
        <v>22</v>
      </c>
      <c r="CL39" s="139" t="str">
        <f t="shared" si="32"/>
        <v/>
      </c>
      <c r="CM39" s="112" t="str">
        <f t="shared" si="51"/>
        <v/>
      </c>
      <c r="CN39" s="139" t="str">
        <f>IFERROR(IF($Z39&gt;$E$12,"",IF($E$5="Uniform Inputs",INDEX($D$45:$E$53,MATCH($CL$3,$B$45:$B$53,0),MATCH(CN$4,$D$44:$E$44,0)),IF(CS39=0,"",CS39))),"")</f>
        <v/>
      </c>
      <c r="CO39" s="139" t="str">
        <f>IFERROR(IF($Z39&gt;$E$12,"",IF($E$5="Uniform Inputs",INDEX($D$45:$E$53,MATCH($CL$3,$B$45:$B$53,0),MATCH(CO$4,$D$44:$E$44,0)),IF(CT39=0,"",CT39))),"")</f>
        <v/>
      </c>
      <c r="CP39" s="10" t="str">
        <f t="shared" si="52"/>
        <v/>
      </c>
      <c r="CQ39" s="11" t="s">
        <v>22</v>
      </c>
      <c r="CR39" s="168" t="s">
        <v>22</v>
      </c>
      <c r="CS39" s="11" t="s">
        <v>22</v>
      </c>
      <c r="CT39" s="11" t="s">
        <v>22</v>
      </c>
      <c r="CU39" s="139" t="str">
        <f t="shared" si="33"/>
        <v/>
      </c>
      <c r="CV39" s="112" t="str">
        <f t="shared" si="53"/>
        <v/>
      </c>
      <c r="CW39" s="139" t="str">
        <f>IFERROR(IF($Z39&gt;$E$12,"",IF($E$5="Uniform Inputs",INDEX($D$45:$E$53,MATCH($CU$3,$B$45:$B$53,0),MATCH(CW$4,$D$44:$E$44,0)),IF(DB39=0,"",DB39))),"")</f>
        <v/>
      </c>
      <c r="CX39" s="139" t="str">
        <f>IFERROR(IF($Z39&gt;$E$12,"",IF($E$5="Uniform Inputs",INDEX($D$45:$E$53,MATCH($CU$3,$B$45:$B$53,0),MATCH(CX$4,$D$44:$E$44,0)),IF(DC39=0,"",DC39))),"")</f>
        <v/>
      </c>
      <c r="CY39" s="10" t="str">
        <f t="shared" si="54"/>
        <v/>
      </c>
      <c r="CZ39" s="11" t="s">
        <v>22</v>
      </c>
      <c r="DA39" s="168" t="s">
        <v>22</v>
      </c>
      <c r="DB39" s="11" t="s">
        <v>22</v>
      </c>
      <c r="DC39" s="11" t="s">
        <v>22</v>
      </c>
    </row>
    <row r="40" spans="2:107" x14ac:dyDescent="0.25">
      <c r="B40" s="132" t="s">
        <v>134</v>
      </c>
      <c r="C40" s="138"/>
      <c r="D40" s="129"/>
      <c r="E40" s="69">
        <v>1E-3</v>
      </c>
      <c r="G40" s="71">
        <v>6</v>
      </c>
      <c r="H40" s="162">
        <f ca="1">SUMIF('Cash Flows'!$C$2:$BW$2,Model!$G40,'Cash Flows'!$C$10:$BW$10)/'Cash Flows'!$BX$10</f>
        <v>1.7874999999999999E-2</v>
      </c>
      <c r="I40" s="162">
        <f ca="1">SUMIF('Cash Flows'!$C$2:$BW$2,Model!$G40,'Cash Flows'!$C$13:$BW$13)/-'Cash Flows'!$BX$10</f>
        <v>1.5989116517285535E-2</v>
      </c>
      <c r="K40" s="6" t="str">
        <f t="shared" si="22"/>
        <v/>
      </c>
      <c r="L40" s="32"/>
      <c r="M40" s="33"/>
      <c r="O40" s="6" t="str">
        <f t="shared" si="23"/>
        <v/>
      </c>
      <c r="P40" s="35" t="str">
        <f t="shared" si="34"/>
        <v/>
      </c>
      <c r="Q40" s="102" t="str">
        <f t="shared" si="35"/>
        <v/>
      </c>
      <c r="R40" s="102" t="str">
        <f t="shared" ca="1" si="36"/>
        <v/>
      </c>
      <c r="S40" s="112" t="str">
        <f t="shared" si="24"/>
        <v/>
      </c>
      <c r="T40" s="112" t="str">
        <f t="shared" ca="1" si="37"/>
        <v/>
      </c>
      <c r="U40" s="1" t="str">
        <f t="shared" si="25"/>
        <v/>
      </c>
      <c r="V40" s="1" t="str">
        <f t="shared" ca="1" si="38"/>
        <v/>
      </c>
      <c r="W40" s="34" t="str">
        <f t="shared" ca="1" si="26"/>
        <v/>
      </c>
      <c r="Y40" s="2">
        <v>35</v>
      </c>
      <c r="Z40" s="6" t="str">
        <f t="shared" si="27"/>
        <v/>
      </c>
      <c r="AA40" s="139" t="str">
        <f>IF($E$5="Uniform Inputs",IF($Z40&gt;$E$12,"",MIN($E$21,($I$5+'Cash Flows'!$BX$8+INDEX('Cash Flows'!$C$19:$BW$19,1,MATCH(EOMONTH(AB40,MOD(-MONTH(AB40),3)-3),'Cash Flows'!$C$4:$BW$4,0)))/$E$12)),IF(AF40&gt;0,AF40,""))</f>
        <v/>
      </c>
      <c r="AB40" s="112" t="str">
        <f t="shared" si="55"/>
        <v/>
      </c>
      <c r="AC40" s="139" t="str">
        <f>IFERROR(IF($Z40&gt;$E$12,"",IF($E$5="Uniform Inputs",INDEX($D$45:$E$53,MATCH($AA$3,$B$45:$B$53,0),MATCH(AC$4,$D$44:$E$44,0)),IF(AH40=0,"",AH40))),"")</f>
        <v/>
      </c>
      <c r="AD40" s="139" t="str">
        <f>IFERROR(IF($Z40&gt;$E$12,"",IF($E$5="Uniform Inputs",INDEX($D$45:$E$53,MATCH($AA$3,$B$45:$B$53,0),MATCH(AD$4,$D$44:$E$44,0)),IF(AI40=0,"",AI40))),"")</f>
        <v/>
      </c>
      <c r="AE40" s="10" t="str">
        <f t="shared" si="29"/>
        <v/>
      </c>
      <c r="AF40" s="11" t="s">
        <v>22</v>
      </c>
      <c r="AG40" s="168" t="s">
        <v>22</v>
      </c>
      <c r="AH40" s="11" t="s">
        <v>22</v>
      </c>
      <c r="AI40" s="11" t="s">
        <v>22</v>
      </c>
      <c r="AJ40" s="139" t="str">
        <f>IF($E$5="Uniform Inputs",IF($Z40&gt;$E$13,"",IF($E$23="Pro-Rata",MIN(AL40*AE40,(($I$5+'Cash Flows'!$BX$8+INDEX('Cash Flows'!$C$19:$BW$19,1,MATCH(EOMONTH(AK40,MOD(-MONTH(AK40),3)-3),'Cash Flows'!$C$4:$BW$4,0)))-$AA$5)/$E$13),MIN($E$24,(($I$5+'Cash Flows'!$BX$8+INDEX('Cash Flows'!$C$19:$BW$19,1,MATCH(EOMONTH(AK40,MOD(-MONTH(AK40),3)-3),'Cash Flows'!$C$4:$BW$4,0)))-$AA$5)/$E$13))),IF(AO40=0,"",AO40))</f>
        <v/>
      </c>
      <c r="AK40" s="112" t="str">
        <f t="shared" si="39"/>
        <v/>
      </c>
      <c r="AL40" s="139" t="str">
        <f>IFERROR(IF($Z40&gt;$E$12,"",IF($E$5="Uniform Inputs",INDEX($D$45:$E$53,MATCH($AJ$3,$B$45:$B$53,0),MATCH(AL$4,$D$44:$E$44,0)),IF(AQ40=0,"",AQ40))),"")</f>
        <v/>
      </c>
      <c r="AM40" s="139" t="str">
        <f>IFERROR(IF($Z40&gt;$E$12,"",IF($E$5="Uniform Inputs",INDEX($D$45:$E$53,MATCH($AJ$3,$B$45:$B$53,0),MATCH(AM$4,$D$44:$E$44,0)),IF(AR40=0,"",AR40))),"")</f>
        <v/>
      </c>
      <c r="AN40" s="10" t="str">
        <f t="shared" si="40"/>
        <v/>
      </c>
      <c r="AO40" s="11" t="s">
        <v>22</v>
      </c>
      <c r="AP40" s="168" t="s">
        <v>22</v>
      </c>
      <c r="AQ40" s="11" t="s">
        <v>22</v>
      </c>
      <c r="AR40" s="11" t="s">
        <v>22</v>
      </c>
      <c r="AS40" s="139" t="str">
        <f>IF($E$5="Uniform Inputs",IF($Z40&gt;$E$14,"",IF($E$23="Pro-Rata",MIN(AU40*AN40,(($I$5+'Cash Flows'!$BX$8+INDEX('Cash Flows'!$C$19:$BW$19,1,MATCH(EOMONTH(AT40,MOD(-MONTH(AT40),3)-3),'Cash Flows'!$C$4:$BW$4,0)))-SUM($AJ$5,$AA$5))/$E$14),MIN($E$25,(($I$5+'Cash Flows'!$BX$8+INDEX('Cash Flows'!$C$19:$BW$19,1,MATCH(EOMONTH(AT40,MOD(-MONTH(AT40),3)-3),'Cash Flows'!$C$4:$BW$4,0)))-SUM($AJ$5,$AA$5))/$E$14))),IF(AX40=0,"",AX40))</f>
        <v/>
      </c>
      <c r="AT40" s="112" t="str">
        <f t="shared" si="41"/>
        <v/>
      </c>
      <c r="AU40" s="139" t="str">
        <f>IFERROR(IF($Z40&gt;$E$12,"",IF($E$5="Uniform Inputs",INDEX($D$45:$E$53,MATCH($AS$3,$B$45:$B$53,0),MATCH(AU$4,$D$44:$E$44,0)),IF(AZ40=0,"",AZ40))),"")</f>
        <v/>
      </c>
      <c r="AV40" s="139" t="str">
        <f>IFERROR(IF($Z40&gt;$E$12,"",IF($E$5="Uniform Inputs",INDEX($D$45:$E$53,MATCH($AS$3,$B$45:$B$53,0),MATCH(AV$4,$D$44:$E$44,0)),IF(BA40=0,"",BA40))),"")</f>
        <v/>
      </c>
      <c r="AW40" s="10" t="str">
        <f t="shared" si="42"/>
        <v/>
      </c>
      <c r="AX40" s="11" t="s">
        <v>22</v>
      </c>
      <c r="AY40" s="168" t="s">
        <v>22</v>
      </c>
      <c r="AZ40" s="11" t="s">
        <v>22</v>
      </c>
      <c r="BA40" s="11" t="s">
        <v>22</v>
      </c>
      <c r="BB40" s="139" t="str">
        <f>IF($E$5="Uniform Inputs",IF($Z40&gt;$E$15,"",IF($E$23="Pro-Rata",MIN(BD40*AW40,(($I$5+'Cash Flows'!$BX$8+INDEX('Cash Flows'!$C$19:$BW$19,1,MATCH(EOMONTH(BC40,MOD(-MONTH(BC40),3)-3),'Cash Flows'!$C$4:$BW$4,0)))-SUM($AS$5,$AJ$5,$AA$5))/$E$15),MIN($E$26,(($I$5+'Cash Flows'!$BX$8+INDEX('Cash Flows'!$C$19:$BW$19,1,MATCH(EOMONTH(BC40,MOD(-MONTH(BC40),3)-3),'Cash Flows'!$C$4:$BW$4,0)))-SUM($AS$5,$AJ$5,$AA$5))/$E$15))),IF(BG40=0,"",BG40))</f>
        <v/>
      </c>
      <c r="BC40" s="112" t="str">
        <f t="shared" si="43"/>
        <v/>
      </c>
      <c r="BD40" s="139" t="str">
        <f>IFERROR(IF($Z40&gt;$E$12,"",IF($E$5="Uniform Inputs",INDEX($D$45:$E$53,MATCH($BB$3,$B$45:$B$53,0),MATCH(BD$4,$D$44:$E$44,0)),IF(BI40=0,"",BI40))),"")</f>
        <v/>
      </c>
      <c r="BE40" s="139" t="str">
        <f>IFERROR(IF($Z40&gt;$E$12,"",IF($E$5="Uniform Inputs",INDEX($D$45:$E$53,MATCH($BB$3,$B$45:$B$53,0),MATCH(BE$4,$D$44:$E$44,0)),IF(BJ40=0,"",BJ40))),"")</f>
        <v/>
      </c>
      <c r="BF40" s="10" t="str">
        <f t="shared" si="44"/>
        <v/>
      </c>
      <c r="BG40" s="11" t="s">
        <v>22</v>
      </c>
      <c r="BH40" s="168" t="s">
        <v>22</v>
      </c>
      <c r="BI40" s="11" t="s">
        <v>22</v>
      </c>
      <c r="BJ40" s="11" t="s">
        <v>22</v>
      </c>
      <c r="BK40" s="139" t="str">
        <f>IF($E$5="Uniform Inputs",IF($Z40&gt;$E$16,"",IF($E$23="Pro-Rata",MIN(BM40*BF40,(($I$5+'Cash Flows'!$BX$8+INDEX('Cash Flows'!$C$19:$BW$19,1,MATCH(EOMONTH(BL40,MOD(-MONTH(BL40),3)-3),'Cash Flows'!$C$4:$BW$4,0)))-SUM($BB$5,$AS$5,$AJ$5,$AA$5))/$E$16),MIN($E$27,(($I$5+'Cash Flows'!$BX$8+INDEX('Cash Flows'!$C$19:$BW$19,1,MATCH(EOMONTH(BL40,MOD(-MONTH(BL40),3)-3),'Cash Flows'!$C$4:$BW$4,0)))-SUM($BB$5,$AS$5,$AJ$5,$AA$5))/$E$16))),IF(BP40=0,"",BP40))</f>
        <v/>
      </c>
      <c r="BL40" s="112" t="str">
        <f t="shared" si="45"/>
        <v/>
      </c>
      <c r="BM40" s="139" t="str">
        <f>IFERROR(IF($Z40&gt;$E$12,"",IF($E$5="Uniform Inputs",INDEX($D$45:$E$53,MATCH($BK$3,$B$45:$B$53,0),MATCH(BM$4,$D$44:$E$44,0)),IF(BR40=0,"",BR40))),"")</f>
        <v/>
      </c>
      <c r="BN40" s="139" t="str">
        <f>IFERROR(IF($Z40&gt;$E$12,"",IF($E$5="Uniform Inputs",INDEX($D$45:$E$53,MATCH($BK$3,$B$45:$B$53,0),MATCH(BN$4,$D$44:$E$44,0)),IF(BS40=0,"",BS40))),"")</f>
        <v/>
      </c>
      <c r="BO40" s="10" t="str">
        <f t="shared" si="46"/>
        <v/>
      </c>
      <c r="BP40" s="11" t="s">
        <v>22</v>
      </c>
      <c r="BQ40" s="168" t="s">
        <v>22</v>
      </c>
      <c r="BR40" s="11" t="s">
        <v>22</v>
      </c>
      <c r="BS40" s="11" t="s">
        <v>22</v>
      </c>
      <c r="BT40" s="139" t="str">
        <f t="shared" si="30"/>
        <v/>
      </c>
      <c r="BU40" s="112" t="str">
        <f t="shared" si="47"/>
        <v/>
      </c>
      <c r="BV40" s="139" t="str">
        <f>IFERROR(IF($Z40&gt;$E$12,"",IF($E$5="Uniform Inputs",INDEX($D$45:$E$53,MATCH($BT$3,$B$45:$B$53,0),MATCH(BV$4,$D$44:$E$44,0)),IF(CA40=0,"",CA40))),"")</f>
        <v/>
      </c>
      <c r="BW40" s="139" t="str">
        <f>IFERROR(IF($Z40&gt;$E$12,"",IF($E$5="Uniform Inputs",INDEX($D$45:$E$53,MATCH($BT$3,$B$45:$B$53,0),MATCH(BW$4,$D$44:$E$44,0)),IF(CB40=0,"",CB40))),"")</f>
        <v/>
      </c>
      <c r="BX40" s="10" t="str">
        <f t="shared" si="48"/>
        <v/>
      </c>
      <c r="BY40" s="11" t="s">
        <v>22</v>
      </c>
      <c r="BZ40" s="168" t="s">
        <v>22</v>
      </c>
      <c r="CA40" s="11" t="s">
        <v>22</v>
      </c>
      <c r="CB40" s="11" t="s">
        <v>22</v>
      </c>
      <c r="CC40" s="139" t="str">
        <f t="shared" si="31"/>
        <v/>
      </c>
      <c r="CD40" s="112" t="str">
        <f t="shared" si="49"/>
        <v/>
      </c>
      <c r="CE40" s="139" t="str">
        <f>IFERROR(IF($Z40&gt;$E$12,"",IF($E$5="Uniform Inputs",INDEX($D$45:$E$53,MATCH($CC$3,$B$45:$B$53,0),MATCH(CE$4,$D$44:$E$44,0)),IF(CJ40=0,"",CJ40))),"")</f>
        <v/>
      </c>
      <c r="CF40" s="139" t="str">
        <f>IFERROR(IF($Z40&gt;$E$12,"",IF($E$5="Uniform Inputs",INDEX($D$45:$E$53,MATCH($CC$3,$B$45:$B$53,0),MATCH(CF$4,$D$44:$E$44,0)),IF(CK40=0,"",CK40))),"")</f>
        <v/>
      </c>
      <c r="CG40" s="10" t="str">
        <f t="shared" si="50"/>
        <v/>
      </c>
      <c r="CH40" s="11" t="s">
        <v>22</v>
      </c>
      <c r="CI40" s="168" t="s">
        <v>22</v>
      </c>
      <c r="CJ40" s="11" t="s">
        <v>22</v>
      </c>
      <c r="CK40" s="11" t="s">
        <v>22</v>
      </c>
      <c r="CL40" s="139" t="str">
        <f t="shared" si="32"/>
        <v/>
      </c>
      <c r="CM40" s="112" t="str">
        <f t="shared" si="51"/>
        <v/>
      </c>
      <c r="CN40" s="139" t="str">
        <f>IFERROR(IF($Z40&gt;$E$12,"",IF($E$5="Uniform Inputs",INDEX($D$45:$E$53,MATCH($CL$3,$B$45:$B$53,0),MATCH(CN$4,$D$44:$E$44,0)),IF(CS40=0,"",CS40))),"")</f>
        <v/>
      </c>
      <c r="CO40" s="139" t="str">
        <f>IFERROR(IF($Z40&gt;$E$12,"",IF($E$5="Uniform Inputs",INDEX($D$45:$E$53,MATCH($CL$3,$B$45:$B$53,0),MATCH(CO$4,$D$44:$E$44,0)),IF(CT40=0,"",CT40))),"")</f>
        <v/>
      </c>
      <c r="CP40" s="10" t="str">
        <f t="shared" si="52"/>
        <v/>
      </c>
      <c r="CQ40" s="11" t="s">
        <v>22</v>
      </c>
      <c r="CR40" s="168" t="s">
        <v>22</v>
      </c>
      <c r="CS40" s="11" t="s">
        <v>22</v>
      </c>
      <c r="CT40" s="11" t="s">
        <v>22</v>
      </c>
      <c r="CU40" s="139" t="str">
        <f t="shared" si="33"/>
        <v/>
      </c>
      <c r="CV40" s="112" t="str">
        <f t="shared" si="53"/>
        <v/>
      </c>
      <c r="CW40" s="139" t="str">
        <f>IFERROR(IF($Z40&gt;$E$12,"",IF($E$5="Uniform Inputs",INDEX($D$45:$E$53,MATCH($CU$3,$B$45:$B$53,0),MATCH(CW$4,$D$44:$E$44,0)),IF(DB40=0,"",DB40))),"")</f>
        <v/>
      </c>
      <c r="CX40" s="139" t="str">
        <f>IFERROR(IF($Z40&gt;$E$12,"",IF($E$5="Uniform Inputs",INDEX($D$45:$E$53,MATCH($CU$3,$B$45:$B$53,0),MATCH(CX$4,$D$44:$E$44,0)),IF(DC40=0,"",DC40))),"")</f>
        <v/>
      </c>
      <c r="CY40" s="10" t="str">
        <f t="shared" si="54"/>
        <v/>
      </c>
      <c r="CZ40" s="11" t="s">
        <v>22</v>
      </c>
      <c r="DA40" s="168" t="s">
        <v>22</v>
      </c>
      <c r="DB40" s="11" t="s">
        <v>22</v>
      </c>
      <c r="DC40" s="11" t="s">
        <v>22</v>
      </c>
    </row>
    <row r="41" spans="2:107" x14ac:dyDescent="0.25">
      <c r="B41" s="44" t="s">
        <v>22</v>
      </c>
      <c r="C41" s="3" t="s">
        <v>22</v>
      </c>
      <c r="D41" s="3" t="s">
        <v>22</v>
      </c>
      <c r="E41" s="47"/>
      <c r="F41" s="100"/>
      <c r="G41" s="71">
        <v>7</v>
      </c>
      <c r="H41" s="162">
        <f ca="1">SUMIF('Cash Flows'!$C$2:$BW$2,Model!$G41,'Cash Flows'!$C$10:$BW$10)/'Cash Flows'!$BX$10</f>
        <v>1.2874999999999998E-2</v>
      </c>
      <c r="I41" s="162">
        <f ca="1">SUMIF('Cash Flows'!$C$2:$BW$2,Model!$G41,'Cash Flows'!$C$13:$BW$13)/-'Cash Flows'!$BX$10</f>
        <v>0.52017925736235582</v>
      </c>
      <c r="J41" s="5"/>
      <c r="K41" s="6" t="str">
        <f t="shared" si="22"/>
        <v/>
      </c>
      <c r="L41" s="5"/>
      <c r="M41" s="5"/>
      <c r="N41" s="5"/>
      <c r="O41" s="6" t="str">
        <f t="shared" si="23"/>
        <v/>
      </c>
      <c r="P41" s="35" t="str">
        <f t="shared" si="34"/>
        <v/>
      </c>
      <c r="Q41" s="102" t="str">
        <f t="shared" si="35"/>
        <v/>
      </c>
      <c r="R41" s="102" t="str">
        <f t="shared" ca="1" si="36"/>
        <v/>
      </c>
      <c r="S41" s="112" t="str">
        <f t="shared" si="24"/>
        <v/>
      </c>
      <c r="T41" s="112" t="str">
        <f t="shared" ca="1" si="37"/>
        <v/>
      </c>
      <c r="U41" s="1" t="str">
        <f t="shared" si="25"/>
        <v/>
      </c>
      <c r="V41" s="1" t="str">
        <f t="shared" ca="1" si="38"/>
        <v/>
      </c>
      <c r="W41" s="34" t="str">
        <f t="shared" ca="1" si="26"/>
        <v/>
      </c>
      <c r="X41" s="5"/>
      <c r="Y41" s="2">
        <v>36</v>
      </c>
      <c r="Z41" s="6" t="str">
        <f t="shared" si="27"/>
        <v/>
      </c>
      <c r="AA41" s="139" t="str">
        <f>IF($E$5="Uniform Inputs",IF($Z41&gt;$E$12,"",MIN($E$21,($I$5+'Cash Flows'!$BX$8+INDEX('Cash Flows'!$C$19:$BW$19,1,MATCH(EOMONTH(AB41,MOD(-MONTH(AB41),3)-3),'Cash Flows'!$C$4:$BW$4,0)))/$E$12)),IF(AF41&gt;0,AF41,""))</f>
        <v/>
      </c>
      <c r="AB41" s="112" t="str">
        <f t="shared" si="55"/>
        <v/>
      </c>
      <c r="AC41" s="139" t="str">
        <f>IFERROR(IF($Z41&gt;$E$12,"",IF($E$5="Uniform Inputs",INDEX($D$45:$E$53,MATCH($AA$3,$B$45:$B$53,0),MATCH(AC$4,$D$44:$E$44,0)),IF(AH41=0,"",AH41))),"")</f>
        <v/>
      </c>
      <c r="AD41" s="139" t="str">
        <f>IFERROR(IF($Z41&gt;$E$12,"",IF($E$5="Uniform Inputs",INDEX($D$45:$E$53,MATCH($AA$3,$B$45:$B$53,0),MATCH(AD$4,$D$44:$E$44,0)),IF(AI41=0,"",AI41))),"")</f>
        <v/>
      </c>
      <c r="AE41" s="10" t="str">
        <f t="shared" si="29"/>
        <v/>
      </c>
      <c r="AF41" s="11" t="s">
        <v>22</v>
      </c>
      <c r="AG41" s="168" t="s">
        <v>22</v>
      </c>
      <c r="AH41" s="11" t="s">
        <v>22</v>
      </c>
      <c r="AI41" s="11" t="s">
        <v>22</v>
      </c>
      <c r="AJ41" s="139" t="str">
        <f>IF($E$5="Uniform Inputs",IF($Z41&gt;$E$13,"",IF($E$23="Pro-Rata",MIN(AL41*AE41,(($I$5+'Cash Flows'!$BX$8+INDEX('Cash Flows'!$C$19:$BW$19,1,MATCH(EOMONTH(AK41,MOD(-MONTH(AK41),3)-3),'Cash Flows'!$C$4:$BW$4,0)))-$AA$5)/$E$13),MIN($E$24,(($I$5+'Cash Flows'!$BX$8+INDEX('Cash Flows'!$C$19:$BW$19,1,MATCH(EOMONTH(AK41,MOD(-MONTH(AK41),3)-3),'Cash Flows'!$C$4:$BW$4,0)))-$AA$5)/$E$13))),IF(AO41=0,"",AO41))</f>
        <v/>
      </c>
      <c r="AK41" s="112" t="str">
        <f t="shared" si="39"/>
        <v/>
      </c>
      <c r="AL41" s="139" t="str">
        <f>IFERROR(IF($Z41&gt;$E$12,"",IF($E$5="Uniform Inputs",INDEX($D$45:$E$53,MATCH($AJ$3,$B$45:$B$53,0),MATCH(AL$4,$D$44:$E$44,0)),IF(AQ41=0,"",AQ41))),"")</f>
        <v/>
      </c>
      <c r="AM41" s="139" t="str">
        <f>IFERROR(IF($Z41&gt;$E$12,"",IF($E$5="Uniform Inputs",INDEX($D$45:$E$53,MATCH($AJ$3,$B$45:$B$53,0),MATCH(AM$4,$D$44:$E$44,0)),IF(AR41=0,"",AR41))),"")</f>
        <v/>
      </c>
      <c r="AN41" s="10" t="str">
        <f t="shared" si="40"/>
        <v/>
      </c>
      <c r="AO41" s="11" t="s">
        <v>22</v>
      </c>
      <c r="AP41" s="168" t="s">
        <v>22</v>
      </c>
      <c r="AQ41" s="11" t="s">
        <v>22</v>
      </c>
      <c r="AR41" s="11" t="s">
        <v>22</v>
      </c>
      <c r="AS41" s="139" t="str">
        <f>IF($E$5="Uniform Inputs",IF($Z41&gt;$E$14,"",IF($E$23="Pro-Rata",MIN(AU41*AN41,(($I$5+'Cash Flows'!$BX$8+INDEX('Cash Flows'!$C$19:$BW$19,1,MATCH(EOMONTH(AT41,MOD(-MONTH(AT41),3)-3),'Cash Flows'!$C$4:$BW$4,0)))-SUM($AJ$5,$AA$5))/$E$14),MIN($E$25,(($I$5+'Cash Flows'!$BX$8+INDEX('Cash Flows'!$C$19:$BW$19,1,MATCH(EOMONTH(AT41,MOD(-MONTH(AT41),3)-3),'Cash Flows'!$C$4:$BW$4,0)))-SUM($AJ$5,$AA$5))/$E$14))),IF(AX41=0,"",AX41))</f>
        <v/>
      </c>
      <c r="AT41" s="112" t="str">
        <f t="shared" si="41"/>
        <v/>
      </c>
      <c r="AU41" s="139" t="str">
        <f>IFERROR(IF($Z41&gt;$E$12,"",IF($E$5="Uniform Inputs",INDEX($D$45:$E$53,MATCH($AS$3,$B$45:$B$53,0),MATCH(AU$4,$D$44:$E$44,0)),IF(AZ41=0,"",AZ41))),"")</f>
        <v/>
      </c>
      <c r="AV41" s="139" t="str">
        <f>IFERROR(IF($Z41&gt;$E$12,"",IF($E$5="Uniform Inputs",INDEX($D$45:$E$53,MATCH($AS$3,$B$45:$B$53,0),MATCH(AV$4,$D$44:$E$44,0)),IF(BA41=0,"",BA41))),"")</f>
        <v/>
      </c>
      <c r="AW41" s="10" t="str">
        <f t="shared" si="42"/>
        <v/>
      </c>
      <c r="AX41" s="11" t="s">
        <v>22</v>
      </c>
      <c r="AY41" s="168" t="s">
        <v>22</v>
      </c>
      <c r="AZ41" s="11" t="s">
        <v>22</v>
      </c>
      <c r="BA41" s="11" t="s">
        <v>22</v>
      </c>
      <c r="BB41" s="139" t="str">
        <f>IF($E$5="Uniform Inputs",IF($Z41&gt;$E$15,"",IF($E$23="Pro-Rata",MIN(BD41*AW41,(($I$5+'Cash Flows'!$BX$8+INDEX('Cash Flows'!$C$19:$BW$19,1,MATCH(EOMONTH(BC41,MOD(-MONTH(BC41),3)-3),'Cash Flows'!$C$4:$BW$4,0)))-SUM($AS$5,$AJ$5,$AA$5))/$E$15),MIN($E$26,(($I$5+'Cash Flows'!$BX$8+INDEX('Cash Flows'!$C$19:$BW$19,1,MATCH(EOMONTH(BC41,MOD(-MONTH(BC41),3)-3),'Cash Flows'!$C$4:$BW$4,0)))-SUM($AS$5,$AJ$5,$AA$5))/$E$15))),IF(BG41=0,"",BG41))</f>
        <v/>
      </c>
      <c r="BC41" s="112" t="str">
        <f t="shared" si="43"/>
        <v/>
      </c>
      <c r="BD41" s="139" t="str">
        <f>IFERROR(IF($Z41&gt;$E$12,"",IF($E$5="Uniform Inputs",INDEX($D$45:$E$53,MATCH($BB$3,$B$45:$B$53,0),MATCH(BD$4,$D$44:$E$44,0)),IF(BI41=0,"",BI41))),"")</f>
        <v/>
      </c>
      <c r="BE41" s="139" t="str">
        <f>IFERROR(IF($Z41&gt;$E$12,"",IF($E$5="Uniform Inputs",INDEX($D$45:$E$53,MATCH($BB$3,$B$45:$B$53,0),MATCH(BE$4,$D$44:$E$44,0)),IF(BJ41=0,"",BJ41))),"")</f>
        <v/>
      </c>
      <c r="BF41" s="10" t="str">
        <f t="shared" si="44"/>
        <v/>
      </c>
      <c r="BG41" s="11" t="s">
        <v>22</v>
      </c>
      <c r="BH41" s="168" t="s">
        <v>22</v>
      </c>
      <c r="BI41" s="11" t="s">
        <v>22</v>
      </c>
      <c r="BJ41" s="11" t="s">
        <v>22</v>
      </c>
      <c r="BK41" s="139" t="str">
        <f>IF($E$5="Uniform Inputs",IF($Z41&gt;$E$16,"",IF($E$23="Pro-Rata",MIN(BM41*BF41,(($I$5+'Cash Flows'!$BX$8+INDEX('Cash Flows'!$C$19:$BW$19,1,MATCH(EOMONTH(BL41,MOD(-MONTH(BL41),3)-3),'Cash Flows'!$C$4:$BW$4,0)))-SUM($BB$5,$AS$5,$AJ$5,$AA$5))/$E$16),MIN($E$27,(($I$5+'Cash Flows'!$BX$8+INDEX('Cash Flows'!$C$19:$BW$19,1,MATCH(EOMONTH(BL41,MOD(-MONTH(BL41),3)-3),'Cash Flows'!$C$4:$BW$4,0)))-SUM($BB$5,$AS$5,$AJ$5,$AA$5))/$E$16))),IF(BP41=0,"",BP41))</f>
        <v/>
      </c>
      <c r="BL41" s="112" t="str">
        <f t="shared" si="45"/>
        <v/>
      </c>
      <c r="BM41" s="139" t="str">
        <f>IFERROR(IF($Z41&gt;$E$12,"",IF($E$5="Uniform Inputs",INDEX($D$45:$E$53,MATCH($BK$3,$B$45:$B$53,0),MATCH(BM$4,$D$44:$E$44,0)),IF(BR41=0,"",BR41))),"")</f>
        <v/>
      </c>
      <c r="BN41" s="139" t="str">
        <f>IFERROR(IF($Z41&gt;$E$12,"",IF($E$5="Uniform Inputs",INDEX($D$45:$E$53,MATCH($BK$3,$B$45:$B$53,0),MATCH(BN$4,$D$44:$E$44,0)),IF(BS41=0,"",BS41))),"")</f>
        <v/>
      </c>
      <c r="BO41" s="10" t="str">
        <f t="shared" si="46"/>
        <v/>
      </c>
      <c r="BP41" s="11" t="s">
        <v>22</v>
      </c>
      <c r="BQ41" s="168" t="s">
        <v>22</v>
      </c>
      <c r="BR41" s="11" t="s">
        <v>22</v>
      </c>
      <c r="BS41" s="11" t="s">
        <v>22</v>
      </c>
      <c r="BT41" s="139" t="str">
        <f t="shared" si="30"/>
        <v/>
      </c>
      <c r="BU41" s="112" t="str">
        <f t="shared" si="47"/>
        <v/>
      </c>
      <c r="BV41" s="139" t="str">
        <f>IFERROR(IF($Z41&gt;$E$12,"",IF($E$5="Uniform Inputs",INDEX($D$45:$E$53,MATCH($BT$3,$B$45:$B$53,0),MATCH(BV$4,$D$44:$E$44,0)),IF(CA41=0,"",CA41))),"")</f>
        <v/>
      </c>
      <c r="BW41" s="139" t="str">
        <f>IFERROR(IF($Z41&gt;$E$12,"",IF($E$5="Uniform Inputs",INDEX($D$45:$E$53,MATCH($BT$3,$B$45:$B$53,0),MATCH(BW$4,$D$44:$E$44,0)),IF(CB41=0,"",CB41))),"")</f>
        <v/>
      </c>
      <c r="BX41" s="10" t="str">
        <f t="shared" si="48"/>
        <v/>
      </c>
      <c r="BY41" s="11" t="s">
        <v>22</v>
      </c>
      <c r="BZ41" s="168" t="s">
        <v>22</v>
      </c>
      <c r="CA41" s="11" t="s">
        <v>22</v>
      </c>
      <c r="CB41" s="11" t="s">
        <v>22</v>
      </c>
      <c r="CC41" s="139" t="str">
        <f t="shared" si="31"/>
        <v/>
      </c>
      <c r="CD41" s="112" t="str">
        <f t="shared" si="49"/>
        <v/>
      </c>
      <c r="CE41" s="139" t="str">
        <f>IFERROR(IF($Z41&gt;$E$12,"",IF($E$5="Uniform Inputs",INDEX($D$45:$E$53,MATCH($CC$3,$B$45:$B$53,0),MATCH(CE$4,$D$44:$E$44,0)),IF(CJ41=0,"",CJ41))),"")</f>
        <v/>
      </c>
      <c r="CF41" s="139" t="str">
        <f>IFERROR(IF($Z41&gt;$E$12,"",IF($E$5="Uniform Inputs",INDEX($D$45:$E$53,MATCH($CC$3,$B$45:$B$53,0),MATCH(CF$4,$D$44:$E$44,0)),IF(CK41=0,"",CK41))),"")</f>
        <v/>
      </c>
      <c r="CG41" s="10" t="str">
        <f t="shared" si="50"/>
        <v/>
      </c>
      <c r="CH41" s="11" t="s">
        <v>22</v>
      </c>
      <c r="CI41" s="168" t="s">
        <v>22</v>
      </c>
      <c r="CJ41" s="11" t="s">
        <v>22</v>
      </c>
      <c r="CK41" s="11" t="s">
        <v>22</v>
      </c>
      <c r="CL41" s="139" t="str">
        <f t="shared" si="32"/>
        <v/>
      </c>
      <c r="CM41" s="112" t="str">
        <f t="shared" si="51"/>
        <v/>
      </c>
      <c r="CN41" s="139" t="str">
        <f>IFERROR(IF($Z41&gt;$E$12,"",IF($E$5="Uniform Inputs",INDEX($D$45:$E$53,MATCH($CL$3,$B$45:$B$53,0),MATCH(CN$4,$D$44:$E$44,0)),IF(CS41=0,"",CS41))),"")</f>
        <v/>
      </c>
      <c r="CO41" s="139" t="str">
        <f>IFERROR(IF($Z41&gt;$E$12,"",IF($E$5="Uniform Inputs",INDEX($D$45:$E$53,MATCH($CL$3,$B$45:$B$53,0),MATCH(CO$4,$D$44:$E$44,0)),IF(CT41=0,"",CT41))),"")</f>
        <v/>
      </c>
      <c r="CP41" s="10" t="str">
        <f t="shared" si="52"/>
        <v/>
      </c>
      <c r="CQ41" s="11" t="s">
        <v>22</v>
      </c>
      <c r="CR41" s="168" t="s">
        <v>22</v>
      </c>
      <c r="CS41" s="11" t="s">
        <v>22</v>
      </c>
      <c r="CT41" s="11" t="s">
        <v>22</v>
      </c>
      <c r="CU41" s="139" t="str">
        <f t="shared" si="33"/>
        <v/>
      </c>
      <c r="CV41" s="112" t="str">
        <f t="shared" si="53"/>
        <v/>
      </c>
      <c r="CW41" s="139" t="str">
        <f>IFERROR(IF($Z41&gt;$E$12,"",IF($E$5="Uniform Inputs",INDEX($D$45:$E$53,MATCH($CU$3,$B$45:$B$53,0),MATCH(CW$4,$D$44:$E$44,0)),IF(DB41=0,"",DB41))),"")</f>
        <v/>
      </c>
      <c r="CX41" s="139" t="str">
        <f>IFERROR(IF($Z41&gt;$E$12,"",IF($E$5="Uniform Inputs",INDEX($D$45:$E$53,MATCH($CU$3,$B$45:$B$53,0),MATCH(CX$4,$D$44:$E$44,0)),IF(DC41=0,"",DC41))),"")</f>
        <v/>
      </c>
      <c r="CY41" s="10" t="str">
        <f t="shared" si="54"/>
        <v/>
      </c>
      <c r="CZ41" s="11" t="s">
        <v>22</v>
      </c>
      <c r="DA41" s="168" t="s">
        <v>22</v>
      </c>
      <c r="DB41" s="11" t="s">
        <v>22</v>
      </c>
      <c r="DC41" s="11" t="s">
        <v>22</v>
      </c>
    </row>
    <row r="42" spans="2:107" x14ac:dyDescent="0.25">
      <c r="F42" s="7"/>
      <c r="G42" s="73">
        <v>8</v>
      </c>
      <c r="H42" s="162">
        <f ca="1">SUMIF('Cash Flows'!$C$2:$BW$2,Model!$G42,'Cash Flows'!$C$10:$BW$10)/'Cash Flows'!$BX$10</f>
        <v>1.0999999999999998E-2</v>
      </c>
      <c r="I42" s="162">
        <f ca="1">SUMIF('Cash Flows'!$C$2:$BW$2,Model!$G42,'Cash Flows'!$C$13:$BW$13)/-'Cash Flows'!$BX$10</f>
        <v>1.1361423568075115</v>
      </c>
      <c r="J42" s="7"/>
      <c r="K42" s="6" t="str">
        <f t="shared" si="22"/>
        <v/>
      </c>
      <c r="L42" s="7"/>
      <c r="M42" s="7"/>
      <c r="N42" s="7"/>
      <c r="O42" s="6" t="str">
        <f t="shared" si="23"/>
        <v/>
      </c>
      <c r="P42" s="35" t="str">
        <f t="shared" si="34"/>
        <v/>
      </c>
      <c r="Q42" s="102" t="str">
        <f t="shared" si="35"/>
        <v/>
      </c>
      <c r="R42" s="102" t="str">
        <f t="shared" ca="1" si="36"/>
        <v/>
      </c>
      <c r="S42" s="112" t="str">
        <f t="shared" si="24"/>
        <v/>
      </c>
      <c r="T42" s="112" t="str">
        <f t="shared" ca="1" si="37"/>
        <v/>
      </c>
      <c r="U42" s="1" t="str">
        <f t="shared" si="25"/>
        <v/>
      </c>
      <c r="V42" s="1" t="str">
        <f t="shared" ca="1" si="38"/>
        <v/>
      </c>
      <c r="W42" s="34" t="str">
        <f t="shared" ca="1" si="26"/>
        <v/>
      </c>
      <c r="X42" s="7"/>
      <c r="Y42" s="2">
        <v>37</v>
      </c>
      <c r="Z42" s="6" t="str">
        <f t="shared" si="27"/>
        <v/>
      </c>
      <c r="AA42" s="139" t="str">
        <f>IF($E$5="Uniform Inputs",IF($Z42&gt;$E$12,"",MIN($E$21,($I$5+'Cash Flows'!$BX$8+INDEX('Cash Flows'!$C$19:$BW$19,1,MATCH(EOMONTH(AB42,MOD(-MONTH(AB42),3)-3),'Cash Flows'!$C$4:$BW$4,0)))/$E$12)),IF(AF42&gt;0,AF42,""))</f>
        <v/>
      </c>
      <c r="AB42" s="112" t="str">
        <f t="shared" si="55"/>
        <v/>
      </c>
      <c r="AC42" s="139" t="str">
        <f>IFERROR(IF($Z42&gt;$E$12,"",IF($E$5="Uniform Inputs",INDEX($D$45:$E$53,MATCH($AA$3,$B$45:$B$53,0),MATCH(AC$4,$D$44:$E$44,0)),IF(AH42=0,"",AH42))),"")</f>
        <v/>
      </c>
      <c r="AD42" s="139" t="str">
        <f>IFERROR(IF($Z42&gt;$E$12,"",IF($E$5="Uniform Inputs",INDEX($D$45:$E$53,MATCH($AA$3,$B$45:$B$53,0),MATCH(AD$4,$D$44:$E$44,0)),IF(AI42=0,"",AI42))),"")</f>
        <v/>
      </c>
      <c r="AE42" s="10" t="str">
        <f t="shared" si="29"/>
        <v/>
      </c>
      <c r="AF42" s="11" t="s">
        <v>22</v>
      </c>
      <c r="AG42" s="168" t="s">
        <v>22</v>
      </c>
      <c r="AH42" s="11" t="s">
        <v>22</v>
      </c>
      <c r="AI42" s="11" t="s">
        <v>22</v>
      </c>
      <c r="AJ42" s="139" t="str">
        <f>IF($E$5="Uniform Inputs",IF($Z42&gt;$E$13,"",IF($E$23="Pro-Rata",MIN(AL42*AE42,(($I$5+'Cash Flows'!$BX$8+INDEX('Cash Flows'!$C$19:$BW$19,1,MATCH(EOMONTH(AK42,MOD(-MONTH(AK42),3)-3),'Cash Flows'!$C$4:$BW$4,0)))-$AA$5)/$E$13),MIN($E$24,(($I$5+'Cash Flows'!$BX$8+INDEX('Cash Flows'!$C$19:$BW$19,1,MATCH(EOMONTH(AK42,MOD(-MONTH(AK42),3)-3),'Cash Flows'!$C$4:$BW$4,0)))-$AA$5)/$E$13))),IF(AO42=0,"",AO42))</f>
        <v/>
      </c>
      <c r="AK42" s="112" t="str">
        <f t="shared" si="39"/>
        <v/>
      </c>
      <c r="AL42" s="139" t="str">
        <f>IFERROR(IF($Z42&gt;$E$12,"",IF($E$5="Uniform Inputs",INDEX($D$45:$E$53,MATCH($AJ$3,$B$45:$B$53,0),MATCH(AL$4,$D$44:$E$44,0)),IF(AQ42=0,"",AQ42))),"")</f>
        <v/>
      </c>
      <c r="AM42" s="139" t="str">
        <f>IFERROR(IF($Z42&gt;$E$12,"",IF($E$5="Uniform Inputs",INDEX($D$45:$E$53,MATCH($AJ$3,$B$45:$B$53,0),MATCH(AM$4,$D$44:$E$44,0)),IF(AR42=0,"",AR42))),"")</f>
        <v/>
      </c>
      <c r="AN42" s="10" t="str">
        <f t="shared" si="40"/>
        <v/>
      </c>
      <c r="AO42" s="11" t="s">
        <v>22</v>
      </c>
      <c r="AP42" s="168" t="s">
        <v>22</v>
      </c>
      <c r="AQ42" s="11" t="s">
        <v>22</v>
      </c>
      <c r="AR42" s="11" t="s">
        <v>22</v>
      </c>
      <c r="AS42" s="139" t="str">
        <f>IF($E$5="Uniform Inputs",IF($Z42&gt;$E$14,"",IF($E$23="Pro-Rata",MIN(AU42*AN42,(($I$5+'Cash Flows'!$BX$8+INDEX('Cash Flows'!$C$19:$BW$19,1,MATCH(EOMONTH(AT42,MOD(-MONTH(AT42),3)-3),'Cash Flows'!$C$4:$BW$4,0)))-SUM($AJ$5,$AA$5))/$E$14),MIN($E$25,(($I$5+'Cash Flows'!$BX$8+INDEX('Cash Flows'!$C$19:$BW$19,1,MATCH(EOMONTH(AT42,MOD(-MONTH(AT42),3)-3),'Cash Flows'!$C$4:$BW$4,0)))-SUM($AJ$5,$AA$5))/$E$14))),IF(AX42=0,"",AX42))</f>
        <v/>
      </c>
      <c r="AT42" s="112" t="str">
        <f t="shared" si="41"/>
        <v/>
      </c>
      <c r="AU42" s="139" t="str">
        <f>IFERROR(IF($Z42&gt;$E$12,"",IF($E$5="Uniform Inputs",INDEX($D$45:$E$53,MATCH($AS$3,$B$45:$B$53,0),MATCH(AU$4,$D$44:$E$44,0)),IF(AZ42=0,"",AZ42))),"")</f>
        <v/>
      </c>
      <c r="AV42" s="139" t="str">
        <f>IFERROR(IF($Z42&gt;$E$12,"",IF($E$5="Uniform Inputs",INDEX($D$45:$E$53,MATCH($AS$3,$B$45:$B$53,0),MATCH(AV$4,$D$44:$E$44,0)),IF(BA42=0,"",BA42))),"")</f>
        <v/>
      </c>
      <c r="AW42" s="10" t="str">
        <f t="shared" si="42"/>
        <v/>
      </c>
      <c r="AX42" s="11" t="s">
        <v>22</v>
      </c>
      <c r="AY42" s="168" t="s">
        <v>22</v>
      </c>
      <c r="AZ42" s="11" t="s">
        <v>22</v>
      </c>
      <c r="BA42" s="11" t="s">
        <v>22</v>
      </c>
      <c r="BB42" s="139" t="str">
        <f>IF($E$5="Uniform Inputs",IF($Z42&gt;$E$15,"",IF($E$23="Pro-Rata",MIN(BD42*AW42,(($I$5+'Cash Flows'!$BX$8+INDEX('Cash Flows'!$C$19:$BW$19,1,MATCH(EOMONTH(BC42,MOD(-MONTH(BC42),3)-3),'Cash Flows'!$C$4:$BW$4,0)))-SUM($AS$5,$AJ$5,$AA$5))/$E$15),MIN($E$26,(($I$5+'Cash Flows'!$BX$8+INDEX('Cash Flows'!$C$19:$BW$19,1,MATCH(EOMONTH(BC42,MOD(-MONTH(BC42),3)-3),'Cash Flows'!$C$4:$BW$4,0)))-SUM($AS$5,$AJ$5,$AA$5))/$E$15))),IF(BG42=0,"",BG42))</f>
        <v/>
      </c>
      <c r="BC42" s="112" t="str">
        <f t="shared" si="43"/>
        <v/>
      </c>
      <c r="BD42" s="139" t="str">
        <f>IFERROR(IF($Z42&gt;$E$12,"",IF($E$5="Uniform Inputs",INDEX($D$45:$E$53,MATCH($BB$3,$B$45:$B$53,0),MATCH(BD$4,$D$44:$E$44,0)),IF(BI42=0,"",BI42))),"")</f>
        <v/>
      </c>
      <c r="BE42" s="139" t="str">
        <f>IFERROR(IF($Z42&gt;$E$12,"",IF($E$5="Uniform Inputs",INDEX($D$45:$E$53,MATCH($BB$3,$B$45:$B$53,0),MATCH(BE$4,$D$44:$E$44,0)),IF(BJ42=0,"",BJ42))),"")</f>
        <v/>
      </c>
      <c r="BF42" s="10" t="str">
        <f t="shared" si="44"/>
        <v/>
      </c>
      <c r="BG42" s="11" t="s">
        <v>22</v>
      </c>
      <c r="BH42" s="168" t="s">
        <v>22</v>
      </c>
      <c r="BI42" s="11" t="s">
        <v>22</v>
      </c>
      <c r="BJ42" s="11" t="s">
        <v>22</v>
      </c>
      <c r="BK42" s="139" t="str">
        <f>IF($E$5="Uniform Inputs",IF($Z42&gt;$E$16,"",IF($E$23="Pro-Rata",MIN(BM42*BF42,(($I$5+'Cash Flows'!$BX$8+INDEX('Cash Flows'!$C$19:$BW$19,1,MATCH(EOMONTH(BL42,MOD(-MONTH(BL42),3)-3),'Cash Flows'!$C$4:$BW$4,0)))-SUM($BB$5,$AS$5,$AJ$5,$AA$5))/$E$16),MIN($E$27,(($I$5+'Cash Flows'!$BX$8+INDEX('Cash Flows'!$C$19:$BW$19,1,MATCH(EOMONTH(BL42,MOD(-MONTH(BL42),3)-3),'Cash Flows'!$C$4:$BW$4,0)))-SUM($BB$5,$AS$5,$AJ$5,$AA$5))/$E$16))),IF(BP42=0,"",BP42))</f>
        <v/>
      </c>
      <c r="BL42" s="112" t="str">
        <f t="shared" si="45"/>
        <v/>
      </c>
      <c r="BM42" s="139" t="str">
        <f>IFERROR(IF($Z42&gt;$E$12,"",IF($E$5="Uniform Inputs",INDEX($D$45:$E$53,MATCH($BK$3,$B$45:$B$53,0),MATCH(BM$4,$D$44:$E$44,0)),IF(BR42=0,"",BR42))),"")</f>
        <v/>
      </c>
      <c r="BN42" s="139" t="str">
        <f>IFERROR(IF($Z42&gt;$E$12,"",IF($E$5="Uniform Inputs",INDEX($D$45:$E$53,MATCH($BK$3,$B$45:$B$53,0),MATCH(BN$4,$D$44:$E$44,0)),IF(BS42=0,"",BS42))),"")</f>
        <v/>
      </c>
      <c r="BO42" s="10" t="str">
        <f t="shared" si="46"/>
        <v/>
      </c>
      <c r="BP42" s="11" t="s">
        <v>22</v>
      </c>
      <c r="BQ42" s="168" t="s">
        <v>22</v>
      </c>
      <c r="BR42" s="11" t="s">
        <v>22</v>
      </c>
      <c r="BS42" s="11" t="s">
        <v>22</v>
      </c>
      <c r="BT42" s="139" t="str">
        <f t="shared" si="30"/>
        <v/>
      </c>
      <c r="BU42" s="112" t="str">
        <f t="shared" si="47"/>
        <v/>
      </c>
      <c r="BV42" s="139" t="str">
        <f>IFERROR(IF($Z42&gt;$E$12,"",IF($E$5="Uniform Inputs",INDEX($D$45:$E$53,MATCH($BT$3,$B$45:$B$53,0),MATCH(BV$4,$D$44:$E$44,0)),IF(CA42=0,"",CA42))),"")</f>
        <v/>
      </c>
      <c r="BW42" s="139" t="str">
        <f>IFERROR(IF($Z42&gt;$E$12,"",IF($E$5="Uniform Inputs",INDEX($D$45:$E$53,MATCH($BT$3,$B$45:$B$53,0),MATCH(BW$4,$D$44:$E$44,0)),IF(CB42=0,"",CB42))),"")</f>
        <v/>
      </c>
      <c r="BX42" s="10" t="str">
        <f t="shared" si="48"/>
        <v/>
      </c>
      <c r="BY42" s="11" t="s">
        <v>22</v>
      </c>
      <c r="BZ42" s="168" t="s">
        <v>22</v>
      </c>
      <c r="CA42" s="11" t="s">
        <v>22</v>
      </c>
      <c r="CB42" s="11" t="s">
        <v>22</v>
      </c>
      <c r="CC42" s="139" t="str">
        <f t="shared" si="31"/>
        <v/>
      </c>
      <c r="CD42" s="112" t="str">
        <f t="shared" si="49"/>
        <v/>
      </c>
      <c r="CE42" s="139" t="str">
        <f>IFERROR(IF($Z42&gt;$E$12,"",IF($E$5="Uniform Inputs",INDEX($D$45:$E$53,MATCH($CC$3,$B$45:$B$53,0),MATCH(CE$4,$D$44:$E$44,0)),IF(CJ42=0,"",CJ42))),"")</f>
        <v/>
      </c>
      <c r="CF42" s="139" t="str">
        <f>IFERROR(IF($Z42&gt;$E$12,"",IF($E$5="Uniform Inputs",INDEX($D$45:$E$53,MATCH($CC$3,$B$45:$B$53,0),MATCH(CF$4,$D$44:$E$44,0)),IF(CK42=0,"",CK42))),"")</f>
        <v/>
      </c>
      <c r="CG42" s="10" t="str">
        <f t="shared" si="50"/>
        <v/>
      </c>
      <c r="CH42" s="11" t="s">
        <v>22</v>
      </c>
      <c r="CI42" s="168" t="s">
        <v>22</v>
      </c>
      <c r="CJ42" s="11" t="s">
        <v>22</v>
      </c>
      <c r="CK42" s="11" t="s">
        <v>22</v>
      </c>
      <c r="CL42" s="139" t="str">
        <f t="shared" si="32"/>
        <v/>
      </c>
      <c r="CM42" s="112" t="str">
        <f t="shared" si="51"/>
        <v/>
      </c>
      <c r="CN42" s="139" t="str">
        <f>IFERROR(IF($Z42&gt;$E$12,"",IF($E$5="Uniform Inputs",INDEX($D$45:$E$53,MATCH($CL$3,$B$45:$B$53,0),MATCH(CN$4,$D$44:$E$44,0)),IF(CS42=0,"",CS42))),"")</f>
        <v/>
      </c>
      <c r="CO42" s="139" t="str">
        <f>IFERROR(IF($Z42&gt;$E$12,"",IF($E$5="Uniform Inputs",INDEX($D$45:$E$53,MATCH($CL$3,$B$45:$B$53,0),MATCH(CO$4,$D$44:$E$44,0)),IF(CT42=0,"",CT42))),"")</f>
        <v/>
      </c>
      <c r="CP42" s="10" t="str">
        <f t="shared" si="52"/>
        <v/>
      </c>
      <c r="CQ42" s="11" t="s">
        <v>22</v>
      </c>
      <c r="CR42" s="168" t="s">
        <v>22</v>
      </c>
      <c r="CS42" s="11" t="s">
        <v>22</v>
      </c>
      <c r="CT42" s="11" t="s">
        <v>22</v>
      </c>
      <c r="CU42" s="139" t="str">
        <f t="shared" si="33"/>
        <v/>
      </c>
      <c r="CV42" s="112" t="str">
        <f t="shared" si="53"/>
        <v/>
      </c>
      <c r="CW42" s="139" t="str">
        <f>IFERROR(IF($Z42&gt;$E$12,"",IF($E$5="Uniform Inputs",INDEX($D$45:$E$53,MATCH($CU$3,$B$45:$B$53,0),MATCH(CW$4,$D$44:$E$44,0)),IF(DB42=0,"",DB42))),"")</f>
        <v/>
      </c>
      <c r="CX42" s="139" t="str">
        <f>IFERROR(IF($Z42&gt;$E$12,"",IF($E$5="Uniform Inputs",INDEX($D$45:$E$53,MATCH($CU$3,$B$45:$B$53,0),MATCH(CX$4,$D$44:$E$44,0)),IF(DC42=0,"",DC42))),"")</f>
        <v/>
      </c>
      <c r="CY42" s="10" t="str">
        <f t="shared" si="54"/>
        <v/>
      </c>
      <c r="CZ42" s="11" t="s">
        <v>22</v>
      </c>
      <c r="DA42" s="168" t="s">
        <v>22</v>
      </c>
      <c r="DB42" s="11" t="s">
        <v>22</v>
      </c>
      <c r="DC42" s="11" t="s">
        <v>22</v>
      </c>
    </row>
    <row r="43" spans="2:107" x14ac:dyDescent="0.25">
      <c r="B43" s="148" t="s">
        <v>107</v>
      </c>
      <c r="C43" s="143"/>
      <c r="D43" s="143"/>
      <c r="E43" s="144"/>
      <c r="F43" s="8"/>
      <c r="G43" s="71">
        <v>9</v>
      </c>
      <c r="H43" s="162">
        <f ca="1">SUMIF('Cash Flows'!$C$2:$BW$2,Model!$G43,'Cash Flows'!$C$10:$BW$10)/'Cash Flows'!$BX$10</f>
        <v>1.0999999999999998E-2</v>
      </c>
      <c r="I43" s="162">
        <f ca="1">SUMIF('Cash Flows'!$C$2:$BW$2,Model!$G43,'Cash Flows'!$C$13:$BW$13)/-'Cash Flows'!$BX$10</f>
        <v>0</v>
      </c>
      <c r="J43" s="8"/>
      <c r="K43" s="6" t="str">
        <f t="shared" si="22"/>
        <v/>
      </c>
      <c r="L43" s="8"/>
      <c r="M43" s="8"/>
      <c r="N43" s="8"/>
      <c r="O43" s="6" t="str">
        <f t="shared" si="23"/>
        <v/>
      </c>
      <c r="P43" s="35" t="str">
        <f t="shared" si="34"/>
        <v/>
      </c>
      <c r="Q43" s="102" t="str">
        <f t="shared" si="35"/>
        <v/>
      </c>
      <c r="R43" s="102" t="str">
        <f t="shared" ca="1" si="36"/>
        <v/>
      </c>
      <c r="S43" s="112" t="str">
        <f t="shared" si="24"/>
        <v/>
      </c>
      <c r="T43" s="112" t="str">
        <f t="shared" ca="1" si="37"/>
        <v/>
      </c>
      <c r="U43" s="1" t="str">
        <f t="shared" si="25"/>
        <v/>
      </c>
      <c r="V43" s="1" t="str">
        <f t="shared" ca="1" si="38"/>
        <v/>
      </c>
      <c r="W43" s="34" t="str">
        <f t="shared" ca="1" si="26"/>
        <v/>
      </c>
      <c r="X43" s="8"/>
      <c r="Y43" s="2">
        <v>38</v>
      </c>
      <c r="Z43" s="6" t="str">
        <f t="shared" si="27"/>
        <v/>
      </c>
      <c r="AA43" s="139" t="str">
        <f>IF($E$5="Uniform Inputs",IF($Z43&gt;$E$12,"",MIN($E$21,($I$5+'Cash Flows'!$BX$8+INDEX('Cash Flows'!$C$19:$BW$19,1,MATCH(EOMONTH(AB43,MOD(-MONTH(AB43),3)-3),'Cash Flows'!$C$4:$BW$4,0)))/$E$12)),IF(AF43&gt;0,AF43,""))</f>
        <v/>
      </c>
      <c r="AB43" s="112" t="str">
        <f t="shared" si="55"/>
        <v/>
      </c>
      <c r="AC43" s="139" t="str">
        <f>IFERROR(IF($Z43&gt;$E$12,"",IF($E$5="Uniform Inputs",INDEX($D$45:$E$53,MATCH($AA$3,$B$45:$B$53,0),MATCH(AC$4,$D$44:$E$44,0)),IF(AH43=0,"",AH43))),"")</f>
        <v/>
      </c>
      <c r="AD43" s="139" t="str">
        <f>IFERROR(IF($Z43&gt;$E$12,"",IF($E$5="Uniform Inputs",INDEX($D$45:$E$53,MATCH($AA$3,$B$45:$B$53,0),MATCH(AD$4,$D$44:$E$44,0)),IF(AI43=0,"",AI43))),"")</f>
        <v/>
      </c>
      <c r="AE43" s="10" t="str">
        <f t="shared" si="29"/>
        <v/>
      </c>
      <c r="AF43" s="11" t="s">
        <v>22</v>
      </c>
      <c r="AG43" s="168" t="s">
        <v>22</v>
      </c>
      <c r="AH43" s="11" t="s">
        <v>22</v>
      </c>
      <c r="AI43" s="11" t="s">
        <v>22</v>
      </c>
      <c r="AJ43" s="139" t="str">
        <f>IF($E$5="Uniform Inputs",IF($Z43&gt;$E$13,"",IF($E$23="Pro-Rata",MIN(AL43*AE43,(($I$5+'Cash Flows'!$BX$8+INDEX('Cash Flows'!$C$19:$BW$19,1,MATCH(EOMONTH(AK43,MOD(-MONTH(AK43),3)-3),'Cash Flows'!$C$4:$BW$4,0)))-$AA$5)/$E$13),MIN($E$24,(($I$5+'Cash Flows'!$BX$8+INDEX('Cash Flows'!$C$19:$BW$19,1,MATCH(EOMONTH(AK43,MOD(-MONTH(AK43),3)-3),'Cash Flows'!$C$4:$BW$4,0)))-$AA$5)/$E$13))),IF(AO43=0,"",AO43))</f>
        <v/>
      </c>
      <c r="AK43" s="112" t="str">
        <f t="shared" si="39"/>
        <v/>
      </c>
      <c r="AL43" s="139" t="str">
        <f>IFERROR(IF($Z43&gt;$E$12,"",IF($E$5="Uniform Inputs",INDEX($D$45:$E$53,MATCH($AJ$3,$B$45:$B$53,0),MATCH(AL$4,$D$44:$E$44,0)),IF(AQ43=0,"",AQ43))),"")</f>
        <v/>
      </c>
      <c r="AM43" s="139" t="str">
        <f>IFERROR(IF($Z43&gt;$E$12,"",IF($E$5="Uniform Inputs",INDEX($D$45:$E$53,MATCH($AJ$3,$B$45:$B$53,0),MATCH(AM$4,$D$44:$E$44,0)),IF(AR43=0,"",AR43))),"")</f>
        <v/>
      </c>
      <c r="AN43" s="10" t="str">
        <f t="shared" si="40"/>
        <v/>
      </c>
      <c r="AO43" s="11" t="s">
        <v>22</v>
      </c>
      <c r="AP43" s="168" t="s">
        <v>22</v>
      </c>
      <c r="AQ43" s="11" t="s">
        <v>22</v>
      </c>
      <c r="AR43" s="11" t="s">
        <v>22</v>
      </c>
      <c r="AS43" s="139" t="str">
        <f>IF($E$5="Uniform Inputs",IF($Z43&gt;$E$14,"",IF($E$23="Pro-Rata",MIN(AU43*AN43,(($I$5+'Cash Flows'!$BX$8+INDEX('Cash Flows'!$C$19:$BW$19,1,MATCH(EOMONTH(AT43,MOD(-MONTH(AT43),3)-3),'Cash Flows'!$C$4:$BW$4,0)))-SUM($AJ$5,$AA$5))/$E$14),MIN($E$25,(($I$5+'Cash Flows'!$BX$8+INDEX('Cash Flows'!$C$19:$BW$19,1,MATCH(EOMONTH(AT43,MOD(-MONTH(AT43),3)-3),'Cash Flows'!$C$4:$BW$4,0)))-SUM($AJ$5,$AA$5))/$E$14))),IF(AX43=0,"",AX43))</f>
        <v/>
      </c>
      <c r="AT43" s="112" t="str">
        <f t="shared" si="41"/>
        <v/>
      </c>
      <c r="AU43" s="139" t="str">
        <f>IFERROR(IF($Z43&gt;$E$12,"",IF($E$5="Uniform Inputs",INDEX($D$45:$E$53,MATCH($AS$3,$B$45:$B$53,0),MATCH(AU$4,$D$44:$E$44,0)),IF(AZ43=0,"",AZ43))),"")</f>
        <v/>
      </c>
      <c r="AV43" s="139" t="str">
        <f>IFERROR(IF($Z43&gt;$E$12,"",IF($E$5="Uniform Inputs",INDEX($D$45:$E$53,MATCH($AS$3,$B$45:$B$53,0),MATCH(AV$4,$D$44:$E$44,0)),IF(BA43=0,"",BA43))),"")</f>
        <v/>
      </c>
      <c r="AW43" s="10" t="str">
        <f t="shared" si="42"/>
        <v/>
      </c>
      <c r="AX43" s="11" t="s">
        <v>22</v>
      </c>
      <c r="AY43" s="168" t="s">
        <v>22</v>
      </c>
      <c r="AZ43" s="11" t="s">
        <v>22</v>
      </c>
      <c r="BA43" s="11" t="s">
        <v>22</v>
      </c>
      <c r="BB43" s="139" t="str">
        <f>IF($E$5="Uniform Inputs",IF($Z43&gt;$E$15,"",IF($E$23="Pro-Rata",MIN(BD43*AW43,(($I$5+'Cash Flows'!$BX$8+INDEX('Cash Flows'!$C$19:$BW$19,1,MATCH(EOMONTH(BC43,MOD(-MONTH(BC43),3)-3),'Cash Flows'!$C$4:$BW$4,0)))-SUM($AS$5,$AJ$5,$AA$5))/$E$15),MIN($E$26,(($I$5+'Cash Flows'!$BX$8+INDEX('Cash Flows'!$C$19:$BW$19,1,MATCH(EOMONTH(BC43,MOD(-MONTH(BC43),3)-3),'Cash Flows'!$C$4:$BW$4,0)))-SUM($AS$5,$AJ$5,$AA$5))/$E$15))),IF(BG43=0,"",BG43))</f>
        <v/>
      </c>
      <c r="BC43" s="112" t="str">
        <f t="shared" si="43"/>
        <v/>
      </c>
      <c r="BD43" s="139" t="str">
        <f>IFERROR(IF($Z43&gt;$E$12,"",IF($E$5="Uniform Inputs",INDEX($D$45:$E$53,MATCH($BB$3,$B$45:$B$53,0),MATCH(BD$4,$D$44:$E$44,0)),IF(BI43=0,"",BI43))),"")</f>
        <v/>
      </c>
      <c r="BE43" s="139" t="str">
        <f>IFERROR(IF($Z43&gt;$E$12,"",IF($E$5="Uniform Inputs",INDEX($D$45:$E$53,MATCH($BB$3,$B$45:$B$53,0),MATCH(BE$4,$D$44:$E$44,0)),IF(BJ43=0,"",BJ43))),"")</f>
        <v/>
      </c>
      <c r="BF43" s="10" t="str">
        <f t="shared" si="44"/>
        <v/>
      </c>
      <c r="BG43" s="11" t="s">
        <v>22</v>
      </c>
      <c r="BH43" s="168" t="s">
        <v>22</v>
      </c>
      <c r="BI43" s="11" t="s">
        <v>22</v>
      </c>
      <c r="BJ43" s="11" t="s">
        <v>22</v>
      </c>
      <c r="BK43" s="139" t="str">
        <f>IF($E$5="Uniform Inputs",IF($Z43&gt;$E$16,"",IF($E$23="Pro-Rata",MIN(BM43*BF43,(($I$5+'Cash Flows'!$BX$8+INDEX('Cash Flows'!$C$19:$BW$19,1,MATCH(EOMONTH(BL43,MOD(-MONTH(BL43),3)-3),'Cash Flows'!$C$4:$BW$4,0)))-SUM($BB$5,$AS$5,$AJ$5,$AA$5))/$E$16),MIN($E$27,(($I$5+'Cash Flows'!$BX$8+INDEX('Cash Flows'!$C$19:$BW$19,1,MATCH(EOMONTH(BL43,MOD(-MONTH(BL43),3)-3),'Cash Flows'!$C$4:$BW$4,0)))-SUM($BB$5,$AS$5,$AJ$5,$AA$5))/$E$16))),IF(BP43=0,"",BP43))</f>
        <v/>
      </c>
      <c r="BL43" s="112" t="str">
        <f t="shared" si="45"/>
        <v/>
      </c>
      <c r="BM43" s="139" t="str">
        <f>IFERROR(IF($Z43&gt;$E$12,"",IF($E$5="Uniform Inputs",INDEX($D$45:$E$53,MATCH($BK$3,$B$45:$B$53,0),MATCH(BM$4,$D$44:$E$44,0)),IF(BR43=0,"",BR43))),"")</f>
        <v/>
      </c>
      <c r="BN43" s="139" t="str">
        <f>IFERROR(IF($Z43&gt;$E$12,"",IF($E$5="Uniform Inputs",INDEX($D$45:$E$53,MATCH($BK$3,$B$45:$B$53,0),MATCH(BN$4,$D$44:$E$44,0)),IF(BS43=0,"",BS43))),"")</f>
        <v/>
      </c>
      <c r="BO43" s="10" t="str">
        <f t="shared" si="46"/>
        <v/>
      </c>
      <c r="BP43" s="11" t="s">
        <v>22</v>
      </c>
      <c r="BQ43" s="168" t="s">
        <v>22</v>
      </c>
      <c r="BR43" s="11" t="s">
        <v>22</v>
      </c>
      <c r="BS43" s="11" t="s">
        <v>22</v>
      </c>
      <c r="BT43" s="139" t="str">
        <f t="shared" si="30"/>
        <v/>
      </c>
      <c r="BU43" s="112" t="str">
        <f t="shared" si="47"/>
        <v/>
      </c>
      <c r="BV43" s="139" t="str">
        <f>IFERROR(IF($Z43&gt;$E$12,"",IF($E$5="Uniform Inputs",INDEX($D$45:$E$53,MATCH($BT$3,$B$45:$B$53,0),MATCH(BV$4,$D$44:$E$44,0)),IF(CA43=0,"",CA43))),"")</f>
        <v/>
      </c>
      <c r="BW43" s="139" t="str">
        <f>IFERROR(IF($Z43&gt;$E$12,"",IF($E$5="Uniform Inputs",INDEX($D$45:$E$53,MATCH($BT$3,$B$45:$B$53,0),MATCH(BW$4,$D$44:$E$44,0)),IF(CB43=0,"",CB43))),"")</f>
        <v/>
      </c>
      <c r="BX43" s="10" t="str">
        <f t="shared" si="48"/>
        <v/>
      </c>
      <c r="BY43" s="11" t="s">
        <v>22</v>
      </c>
      <c r="BZ43" s="168" t="s">
        <v>22</v>
      </c>
      <c r="CA43" s="11" t="s">
        <v>22</v>
      </c>
      <c r="CB43" s="11" t="s">
        <v>22</v>
      </c>
      <c r="CC43" s="139" t="str">
        <f t="shared" si="31"/>
        <v/>
      </c>
      <c r="CD43" s="112" t="str">
        <f t="shared" si="49"/>
        <v/>
      </c>
      <c r="CE43" s="139" t="str">
        <f>IFERROR(IF($Z43&gt;$E$12,"",IF($E$5="Uniform Inputs",INDEX($D$45:$E$53,MATCH($CC$3,$B$45:$B$53,0),MATCH(CE$4,$D$44:$E$44,0)),IF(CJ43=0,"",CJ43))),"")</f>
        <v/>
      </c>
      <c r="CF43" s="139" t="str">
        <f>IFERROR(IF($Z43&gt;$E$12,"",IF($E$5="Uniform Inputs",INDEX($D$45:$E$53,MATCH($CC$3,$B$45:$B$53,0),MATCH(CF$4,$D$44:$E$44,0)),IF(CK43=0,"",CK43))),"")</f>
        <v/>
      </c>
      <c r="CG43" s="10" t="str">
        <f t="shared" si="50"/>
        <v/>
      </c>
      <c r="CH43" s="11" t="s">
        <v>22</v>
      </c>
      <c r="CI43" s="168" t="s">
        <v>22</v>
      </c>
      <c r="CJ43" s="11" t="s">
        <v>22</v>
      </c>
      <c r="CK43" s="11" t="s">
        <v>22</v>
      </c>
      <c r="CL43" s="139" t="str">
        <f t="shared" si="32"/>
        <v/>
      </c>
      <c r="CM43" s="112" t="str">
        <f t="shared" si="51"/>
        <v/>
      </c>
      <c r="CN43" s="139" t="str">
        <f>IFERROR(IF($Z43&gt;$E$12,"",IF($E$5="Uniform Inputs",INDEX($D$45:$E$53,MATCH($CL$3,$B$45:$B$53,0),MATCH(CN$4,$D$44:$E$44,0)),IF(CS43=0,"",CS43))),"")</f>
        <v/>
      </c>
      <c r="CO43" s="139" t="str">
        <f>IFERROR(IF($Z43&gt;$E$12,"",IF($E$5="Uniform Inputs",INDEX($D$45:$E$53,MATCH($CL$3,$B$45:$B$53,0),MATCH(CO$4,$D$44:$E$44,0)),IF(CT43=0,"",CT43))),"")</f>
        <v/>
      </c>
      <c r="CP43" s="10" t="str">
        <f t="shared" si="52"/>
        <v/>
      </c>
      <c r="CQ43" s="11" t="s">
        <v>22</v>
      </c>
      <c r="CR43" s="168" t="s">
        <v>22</v>
      </c>
      <c r="CS43" s="11" t="s">
        <v>22</v>
      </c>
      <c r="CT43" s="11" t="s">
        <v>22</v>
      </c>
      <c r="CU43" s="139" t="str">
        <f t="shared" si="33"/>
        <v/>
      </c>
      <c r="CV43" s="112" t="str">
        <f t="shared" si="53"/>
        <v/>
      </c>
      <c r="CW43" s="139" t="str">
        <f>IFERROR(IF($Z43&gt;$E$12,"",IF($E$5="Uniform Inputs",INDEX($D$45:$E$53,MATCH($CU$3,$B$45:$B$53,0),MATCH(CW$4,$D$44:$E$44,0)),IF(DB43=0,"",DB43))),"")</f>
        <v/>
      </c>
      <c r="CX43" s="139" t="str">
        <f>IFERROR(IF($Z43&gt;$E$12,"",IF($E$5="Uniform Inputs",INDEX($D$45:$E$53,MATCH($CU$3,$B$45:$B$53,0),MATCH(CX$4,$D$44:$E$44,0)),IF(DC43=0,"",DC43))),"")</f>
        <v/>
      </c>
      <c r="CY43" s="10" t="str">
        <f t="shared" si="54"/>
        <v/>
      </c>
      <c r="CZ43" s="11" t="s">
        <v>22</v>
      </c>
      <c r="DA43" s="168" t="s">
        <v>22</v>
      </c>
      <c r="DB43" s="11" t="s">
        <v>22</v>
      </c>
      <c r="DC43" s="11" t="s">
        <v>22</v>
      </c>
    </row>
    <row r="44" spans="2:107" x14ac:dyDescent="0.25">
      <c r="B44" s="145"/>
      <c r="C44" s="140"/>
      <c r="D44" s="146" t="s">
        <v>3</v>
      </c>
      <c r="E44" s="147" t="s">
        <v>14</v>
      </c>
      <c r="F44" s="8"/>
      <c r="G44" s="71">
        <v>10</v>
      </c>
      <c r="H44" s="162">
        <f ca="1">SUMIF('Cash Flows'!$C$2:$BW$2,Model!$G44,'Cash Flows'!$C$10:$BW$10)/'Cash Flows'!$BX$10</f>
        <v>1.0999999999999998E-2</v>
      </c>
      <c r="I44" s="162">
        <f ca="1">SUMIF('Cash Flows'!$C$2:$BW$2,Model!$G44,'Cash Flows'!$C$13:$BW$13)/-'Cash Flows'!$BX$10</f>
        <v>0</v>
      </c>
      <c r="J44" s="8"/>
      <c r="K44" s="6" t="str">
        <f t="shared" si="22"/>
        <v/>
      </c>
      <c r="L44" s="8"/>
      <c r="M44" s="8"/>
      <c r="N44" s="8"/>
      <c r="O44" s="6" t="str">
        <f t="shared" si="23"/>
        <v/>
      </c>
      <c r="P44" s="35" t="str">
        <f t="shared" si="34"/>
        <v/>
      </c>
      <c r="Q44" s="102" t="str">
        <f t="shared" si="35"/>
        <v/>
      </c>
      <c r="R44" s="102" t="str">
        <f t="shared" ca="1" si="36"/>
        <v/>
      </c>
      <c r="S44" s="112" t="str">
        <f t="shared" si="24"/>
        <v/>
      </c>
      <c r="T44" s="112" t="str">
        <f t="shared" ca="1" si="37"/>
        <v/>
      </c>
      <c r="U44" s="1" t="str">
        <f t="shared" si="25"/>
        <v/>
      </c>
      <c r="V44" s="1" t="str">
        <f t="shared" ca="1" si="38"/>
        <v/>
      </c>
      <c r="W44" s="34" t="str">
        <f t="shared" ca="1" si="26"/>
        <v/>
      </c>
      <c r="X44" s="8"/>
      <c r="Y44" s="2">
        <v>39</v>
      </c>
      <c r="Z44" s="6" t="str">
        <f t="shared" si="27"/>
        <v/>
      </c>
      <c r="AA44" s="139" t="str">
        <f>IF($E$5="Uniform Inputs",IF($Z44&gt;$E$12,"",MIN($E$21,($I$5+'Cash Flows'!$BX$8+INDEX('Cash Flows'!$C$19:$BW$19,1,MATCH(EOMONTH(AB44,MOD(-MONTH(AB44),3)-3),'Cash Flows'!$C$4:$BW$4,0)))/$E$12)),IF(AF44&gt;0,AF44,""))</f>
        <v/>
      </c>
      <c r="AB44" s="112" t="str">
        <f t="shared" si="55"/>
        <v/>
      </c>
      <c r="AC44" s="139" t="str">
        <f>IFERROR(IF($Z44&gt;$E$12,"",IF($E$5="Uniform Inputs",INDEX($D$45:$E$53,MATCH($AA$3,$B$45:$B$53,0),MATCH(AC$4,$D$44:$E$44,0)),IF(AH44=0,"",AH44))),"")</f>
        <v/>
      </c>
      <c r="AD44" s="139" t="str">
        <f>IFERROR(IF($Z44&gt;$E$12,"",IF($E$5="Uniform Inputs",INDEX($D$45:$E$53,MATCH($AA$3,$B$45:$B$53,0),MATCH(AD$4,$D$44:$E$44,0)),IF(AI44=0,"",AI44))),"")</f>
        <v/>
      </c>
      <c r="AE44" s="10" t="str">
        <f t="shared" si="29"/>
        <v/>
      </c>
      <c r="AF44" s="11" t="s">
        <v>22</v>
      </c>
      <c r="AG44" s="168" t="s">
        <v>22</v>
      </c>
      <c r="AH44" s="11" t="s">
        <v>22</v>
      </c>
      <c r="AI44" s="11" t="s">
        <v>22</v>
      </c>
      <c r="AJ44" s="139" t="str">
        <f>IF($E$5="Uniform Inputs",IF($Z44&gt;$E$13,"",IF($E$23="Pro-Rata",MIN(AL44*AE44,(($I$5+'Cash Flows'!$BX$8+INDEX('Cash Flows'!$C$19:$BW$19,1,MATCH(EOMONTH(AK44,MOD(-MONTH(AK44),3)-3),'Cash Flows'!$C$4:$BW$4,0)))-$AA$5)/$E$13),MIN($E$24,(($I$5+'Cash Flows'!$BX$8+INDEX('Cash Flows'!$C$19:$BW$19,1,MATCH(EOMONTH(AK44,MOD(-MONTH(AK44),3)-3),'Cash Flows'!$C$4:$BW$4,0)))-$AA$5)/$E$13))),IF(AO44=0,"",AO44))</f>
        <v/>
      </c>
      <c r="AK44" s="112" t="str">
        <f t="shared" si="39"/>
        <v/>
      </c>
      <c r="AL44" s="139" t="str">
        <f>IFERROR(IF($Z44&gt;$E$12,"",IF($E$5="Uniform Inputs",INDEX($D$45:$E$53,MATCH($AJ$3,$B$45:$B$53,0),MATCH(AL$4,$D$44:$E$44,0)),IF(AQ44=0,"",AQ44))),"")</f>
        <v/>
      </c>
      <c r="AM44" s="139" t="str">
        <f>IFERROR(IF($Z44&gt;$E$12,"",IF($E$5="Uniform Inputs",INDEX($D$45:$E$53,MATCH($AJ$3,$B$45:$B$53,0),MATCH(AM$4,$D$44:$E$44,0)),IF(AR44=0,"",AR44))),"")</f>
        <v/>
      </c>
      <c r="AN44" s="10" t="str">
        <f t="shared" si="40"/>
        <v/>
      </c>
      <c r="AO44" s="11" t="s">
        <v>22</v>
      </c>
      <c r="AP44" s="168" t="s">
        <v>22</v>
      </c>
      <c r="AQ44" s="11" t="s">
        <v>22</v>
      </c>
      <c r="AR44" s="11" t="s">
        <v>22</v>
      </c>
      <c r="AS44" s="139" t="str">
        <f>IF($E$5="Uniform Inputs",IF($Z44&gt;$E$14,"",IF($E$23="Pro-Rata",MIN(AU44*AN44,(($I$5+'Cash Flows'!$BX$8+INDEX('Cash Flows'!$C$19:$BW$19,1,MATCH(EOMONTH(AT44,MOD(-MONTH(AT44),3)-3),'Cash Flows'!$C$4:$BW$4,0)))-SUM($AJ$5,$AA$5))/$E$14),MIN($E$25,(($I$5+'Cash Flows'!$BX$8+INDEX('Cash Flows'!$C$19:$BW$19,1,MATCH(EOMONTH(AT44,MOD(-MONTH(AT44),3)-3),'Cash Flows'!$C$4:$BW$4,0)))-SUM($AJ$5,$AA$5))/$E$14))),IF(AX44=0,"",AX44))</f>
        <v/>
      </c>
      <c r="AT44" s="112" t="str">
        <f t="shared" si="41"/>
        <v/>
      </c>
      <c r="AU44" s="139" t="str">
        <f>IFERROR(IF($Z44&gt;$E$12,"",IF($E$5="Uniform Inputs",INDEX($D$45:$E$53,MATCH($AS$3,$B$45:$B$53,0),MATCH(AU$4,$D$44:$E$44,0)),IF(AZ44=0,"",AZ44))),"")</f>
        <v/>
      </c>
      <c r="AV44" s="139" t="str">
        <f>IFERROR(IF($Z44&gt;$E$12,"",IF($E$5="Uniform Inputs",INDEX($D$45:$E$53,MATCH($AS$3,$B$45:$B$53,0),MATCH(AV$4,$D$44:$E$44,0)),IF(BA44=0,"",BA44))),"")</f>
        <v/>
      </c>
      <c r="AW44" s="10" t="str">
        <f t="shared" si="42"/>
        <v/>
      </c>
      <c r="AX44" s="11" t="s">
        <v>22</v>
      </c>
      <c r="AY44" s="168" t="s">
        <v>22</v>
      </c>
      <c r="AZ44" s="11" t="s">
        <v>22</v>
      </c>
      <c r="BA44" s="11" t="s">
        <v>22</v>
      </c>
      <c r="BB44" s="139" t="str">
        <f>IF($E$5="Uniform Inputs",IF($Z44&gt;$E$15,"",IF($E$23="Pro-Rata",MIN(BD44*AW44,(($I$5+'Cash Flows'!$BX$8+INDEX('Cash Flows'!$C$19:$BW$19,1,MATCH(EOMONTH(BC44,MOD(-MONTH(BC44),3)-3),'Cash Flows'!$C$4:$BW$4,0)))-SUM($AS$5,$AJ$5,$AA$5))/$E$15),MIN($E$26,(($I$5+'Cash Flows'!$BX$8+INDEX('Cash Flows'!$C$19:$BW$19,1,MATCH(EOMONTH(BC44,MOD(-MONTH(BC44),3)-3),'Cash Flows'!$C$4:$BW$4,0)))-SUM($AS$5,$AJ$5,$AA$5))/$E$15))),IF(BG44=0,"",BG44))</f>
        <v/>
      </c>
      <c r="BC44" s="112" t="str">
        <f t="shared" si="43"/>
        <v/>
      </c>
      <c r="BD44" s="139" t="str">
        <f>IFERROR(IF($Z44&gt;$E$12,"",IF($E$5="Uniform Inputs",INDEX($D$45:$E$53,MATCH($BB$3,$B$45:$B$53,0),MATCH(BD$4,$D$44:$E$44,0)),IF(BI44=0,"",BI44))),"")</f>
        <v/>
      </c>
      <c r="BE44" s="139" t="str">
        <f>IFERROR(IF($Z44&gt;$E$12,"",IF($E$5="Uniform Inputs",INDEX($D$45:$E$53,MATCH($BB$3,$B$45:$B$53,0),MATCH(BE$4,$D$44:$E$44,0)),IF(BJ44=0,"",BJ44))),"")</f>
        <v/>
      </c>
      <c r="BF44" s="10" t="str">
        <f t="shared" si="44"/>
        <v/>
      </c>
      <c r="BG44" s="11" t="s">
        <v>22</v>
      </c>
      <c r="BH44" s="168" t="s">
        <v>22</v>
      </c>
      <c r="BI44" s="11" t="s">
        <v>22</v>
      </c>
      <c r="BJ44" s="11" t="s">
        <v>22</v>
      </c>
      <c r="BK44" s="139" t="str">
        <f>IF($E$5="Uniform Inputs",IF($Z44&gt;$E$16,"",IF($E$23="Pro-Rata",MIN(BM44*BF44,(($I$5+'Cash Flows'!$BX$8+INDEX('Cash Flows'!$C$19:$BW$19,1,MATCH(EOMONTH(BL44,MOD(-MONTH(BL44),3)-3),'Cash Flows'!$C$4:$BW$4,0)))-SUM($BB$5,$AS$5,$AJ$5,$AA$5))/$E$16),MIN($E$27,(($I$5+'Cash Flows'!$BX$8+INDEX('Cash Flows'!$C$19:$BW$19,1,MATCH(EOMONTH(BL44,MOD(-MONTH(BL44),3)-3),'Cash Flows'!$C$4:$BW$4,0)))-SUM($BB$5,$AS$5,$AJ$5,$AA$5))/$E$16))),IF(BP44=0,"",BP44))</f>
        <v/>
      </c>
      <c r="BL44" s="112" t="str">
        <f t="shared" si="45"/>
        <v/>
      </c>
      <c r="BM44" s="139" t="str">
        <f>IFERROR(IF($Z44&gt;$E$12,"",IF($E$5="Uniform Inputs",INDEX($D$45:$E$53,MATCH($BK$3,$B$45:$B$53,0),MATCH(BM$4,$D$44:$E$44,0)),IF(BR44=0,"",BR44))),"")</f>
        <v/>
      </c>
      <c r="BN44" s="139" t="str">
        <f>IFERROR(IF($Z44&gt;$E$12,"",IF($E$5="Uniform Inputs",INDEX($D$45:$E$53,MATCH($BK$3,$B$45:$B$53,0),MATCH(BN$4,$D$44:$E$44,0)),IF(BS44=0,"",BS44))),"")</f>
        <v/>
      </c>
      <c r="BO44" s="10" t="str">
        <f t="shared" si="46"/>
        <v/>
      </c>
      <c r="BP44" s="11" t="s">
        <v>22</v>
      </c>
      <c r="BQ44" s="168" t="s">
        <v>22</v>
      </c>
      <c r="BR44" s="11" t="s">
        <v>22</v>
      </c>
      <c r="BS44" s="11" t="s">
        <v>22</v>
      </c>
      <c r="BT44" s="139" t="str">
        <f t="shared" si="30"/>
        <v/>
      </c>
      <c r="BU44" s="112" t="str">
        <f t="shared" si="47"/>
        <v/>
      </c>
      <c r="BV44" s="139" t="str">
        <f>IFERROR(IF($Z44&gt;$E$12,"",IF($E$5="Uniform Inputs",INDEX($D$45:$E$53,MATCH($BT$3,$B$45:$B$53,0),MATCH(BV$4,$D$44:$E$44,0)),IF(CA44=0,"",CA44))),"")</f>
        <v/>
      </c>
      <c r="BW44" s="139" t="str">
        <f>IFERROR(IF($Z44&gt;$E$12,"",IF($E$5="Uniform Inputs",INDEX($D$45:$E$53,MATCH($BT$3,$B$45:$B$53,0),MATCH(BW$4,$D$44:$E$44,0)),IF(CB44=0,"",CB44))),"")</f>
        <v/>
      </c>
      <c r="BX44" s="10" t="str">
        <f t="shared" si="48"/>
        <v/>
      </c>
      <c r="BY44" s="11" t="s">
        <v>22</v>
      </c>
      <c r="BZ44" s="168" t="s">
        <v>22</v>
      </c>
      <c r="CA44" s="11" t="s">
        <v>22</v>
      </c>
      <c r="CB44" s="11" t="s">
        <v>22</v>
      </c>
      <c r="CC44" s="139" t="str">
        <f t="shared" si="31"/>
        <v/>
      </c>
      <c r="CD44" s="112" t="str">
        <f t="shared" si="49"/>
        <v/>
      </c>
      <c r="CE44" s="139" t="str">
        <f>IFERROR(IF($Z44&gt;$E$12,"",IF($E$5="Uniform Inputs",INDEX($D$45:$E$53,MATCH($CC$3,$B$45:$B$53,0),MATCH(CE$4,$D$44:$E$44,0)),IF(CJ44=0,"",CJ44))),"")</f>
        <v/>
      </c>
      <c r="CF44" s="139" t="str">
        <f>IFERROR(IF($Z44&gt;$E$12,"",IF($E$5="Uniform Inputs",INDEX($D$45:$E$53,MATCH($CC$3,$B$45:$B$53,0),MATCH(CF$4,$D$44:$E$44,0)),IF(CK44=0,"",CK44))),"")</f>
        <v/>
      </c>
      <c r="CG44" s="10" t="str">
        <f t="shared" si="50"/>
        <v/>
      </c>
      <c r="CH44" s="11" t="s">
        <v>22</v>
      </c>
      <c r="CI44" s="168" t="s">
        <v>22</v>
      </c>
      <c r="CJ44" s="11" t="s">
        <v>22</v>
      </c>
      <c r="CK44" s="11" t="s">
        <v>22</v>
      </c>
      <c r="CL44" s="139" t="str">
        <f t="shared" si="32"/>
        <v/>
      </c>
      <c r="CM44" s="112" t="str">
        <f t="shared" si="51"/>
        <v/>
      </c>
      <c r="CN44" s="139" t="str">
        <f>IFERROR(IF($Z44&gt;$E$12,"",IF($E$5="Uniform Inputs",INDEX($D$45:$E$53,MATCH($CL$3,$B$45:$B$53,0),MATCH(CN$4,$D$44:$E$44,0)),IF(CS44=0,"",CS44))),"")</f>
        <v/>
      </c>
      <c r="CO44" s="139" t="str">
        <f>IFERROR(IF($Z44&gt;$E$12,"",IF($E$5="Uniform Inputs",INDEX($D$45:$E$53,MATCH($CL$3,$B$45:$B$53,0),MATCH(CO$4,$D$44:$E$44,0)),IF(CT44=0,"",CT44))),"")</f>
        <v/>
      </c>
      <c r="CP44" s="10" t="str">
        <f t="shared" si="52"/>
        <v/>
      </c>
      <c r="CQ44" s="11" t="s">
        <v>22</v>
      </c>
      <c r="CR44" s="168" t="s">
        <v>22</v>
      </c>
      <c r="CS44" s="11" t="s">
        <v>22</v>
      </c>
      <c r="CT44" s="11" t="s">
        <v>22</v>
      </c>
      <c r="CU44" s="139" t="str">
        <f t="shared" si="33"/>
        <v/>
      </c>
      <c r="CV44" s="112" t="str">
        <f t="shared" si="53"/>
        <v/>
      </c>
      <c r="CW44" s="139" t="str">
        <f>IFERROR(IF($Z44&gt;$E$12,"",IF($E$5="Uniform Inputs",INDEX($D$45:$E$53,MATCH($CU$3,$B$45:$B$53,0),MATCH(CW$4,$D$44:$E$44,0)),IF(DB44=0,"",DB44))),"")</f>
        <v/>
      </c>
      <c r="CX44" s="139" t="str">
        <f>IFERROR(IF($Z44&gt;$E$12,"",IF($E$5="Uniform Inputs",INDEX($D$45:$E$53,MATCH($CU$3,$B$45:$B$53,0),MATCH(CX$4,$D$44:$E$44,0)),IF(DC44=0,"",DC44))),"")</f>
        <v/>
      </c>
      <c r="CY44" s="10" t="str">
        <f t="shared" si="54"/>
        <v/>
      </c>
      <c r="CZ44" s="11" t="s">
        <v>22</v>
      </c>
      <c r="DA44" s="168" t="s">
        <v>22</v>
      </c>
      <c r="DB44" s="11" t="s">
        <v>22</v>
      </c>
      <c r="DC44" s="11" t="s">
        <v>22</v>
      </c>
    </row>
    <row r="45" spans="2:107" x14ac:dyDescent="0.25">
      <c r="B45" s="137" t="s">
        <v>105</v>
      </c>
      <c r="C45" s="135"/>
      <c r="D45" s="136">
        <v>1500000</v>
      </c>
      <c r="E45" s="70">
        <v>7500000</v>
      </c>
      <c r="F45" s="8"/>
      <c r="G45" s="71">
        <v>11</v>
      </c>
      <c r="H45" s="162">
        <f ca="1">SUMIF('Cash Flows'!$C$2:$BW$2,Model!$G45,'Cash Flows'!$C$10:$BW$10)/'Cash Flows'!$BX$10</f>
        <v>0</v>
      </c>
      <c r="I45" s="162">
        <f ca="1">SUMIF('Cash Flows'!$C$2:$BW$2,Model!$G45,'Cash Flows'!$C$13:$BW$13)/-'Cash Flows'!$BX$10</f>
        <v>0.71050226140057104</v>
      </c>
      <c r="J45" s="8"/>
      <c r="K45" s="6" t="str">
        <f t="shared" si="22"/>
        <v/>
      </c>
      <c r="L45" s="8"/>
      <c r="M45" s="8"/>
      <c r="N45" s="8"/>
      <c r="O45" s="6" t="str">
        <f t="shared" si="23"/>
        <v/>
      </c>
      <c r="P45" s="35" t="str">
        <f t="shared" si="34"/>
        <v/>
      </c>
      <c r="Q45" s="102" t="str">
        <f t="shared" si="35"/>
        <v/>
      </c>
      <c r="R45" s="102" t="str">
        <f t="shared" ca="1" si="36"/>
        <v/>
      </c>
      <c r="S45" s="112" t="str">
        <f t="shared" si="24"/>
        <v/>
      </c>
      <c r="T45" s="112" t="str">
        <f t="shared" ca="1" si="37"/>
        <v/>
      </c>
      <c r="U45" s="1" t="str">
        <f t="shared" si="25"/>
        <v/>
      </c>
      <c r="V45" s="1" t="str">
        <f t="shared" ca="1" si="38"/>
        <v/>
      </c>
      <c r="W45" s="34" t="str">
        <f t="shared" ca="1" si="26"/>
        <v/>
      </c>
      <c r="X45" s="8"/>
      <c r="Y45" s="2">
        <v>40</v>
      </c>
      <c r="Z45" s="6" t="str">
        <f t="shared" si="27"/>
        <v/>
      </c>
      <c r="AA45" s="139" t="str">
        <f>IF($E$5="Uniform Inputs",IF($Z45&gt;$E$12,"",MIN($E$21,($I$5+'Cash Flows'!$BX$8+INDEX('Cash Flows'!$C$19:$BW$19,1,MATCH(EOMONTH(AB45,MOD(-MONTH(AB45),3)-3),'Cash Flows'!$C$4:$BW$4,0)))/$E$12)),IF(AF45&gt;0,AF45,""))</f>
        <v/>
      </c>
      <c r="AB45" s="112" t="str">
        <f t="shared" si="55"/>
        <v/>
      </c>
      <c r="AC45" s="139" t="str">
        <f>IFERROR(IF($Z45&gt;$E$12,"",IF($E$5="Uniform Inputs",INDEX($D$45:$E$53,MATCH($AA$3,$B$45:$B$53,0),MATCH(AC$4,$D$44:$E$44,0)),IF(AH45=0,"",AH45))),"")</f>
        <v/>
      </c>
      <c r="AD45" s="139" t="str">
        <f>IFERROR(IF($Z45&gt;$E$12,"",IF($E$5="Uniform Inputs",INDEX($D$45:$E$53,MATCH($AA$3,$B$45:$B$53,0),MATCH(AD$4,$D$44:$E$44,0)),IF(AI45=0,"",AI45))),"")</f>
        <v/>
      </c>
      <c r="AE45" s="10" t="str">
        <f t="shared" si="29"/>
        <v/>
      </c>
      <c r="AF45" s="11" t="s">
        <v>22</v>
      </c>
      <c r="AG45" s="168" t="s">
        <v>22</v>
      </c>
      <c r="AH45" s="11" t="s">
        <v>22</v>
      </c>
      <c r="AI45" s="11" t="s">
        <v>22</v>
      </c>
      <c r="AJ45" s="139" t="str">
        <f>IF($E$5="Uniform Inputs",IF($Z45&gt;$E$13,"",IF($E$23="Pro-Rata",MIN(AL45*AE45,(($I$5+'Cash Flows'!$BX$8+INDEX('Cash Flows'!$C$19:$BW$19,1,MATCH(EOMONTH(AK45,MOD(-MONTH(AK45),3)-3),'Cash Flows'!$C$4:$BW$4,0)))-$AA$5)/$E$13),MIN($E$24,(($I$5+'Cash Flows'!$BX$8+INDEX('Cash Flows'!$C$19:$BW$19,1,MATCH(EOMONTH(AK45,MOD(-MONTH(AK45),3)-3),'Cash Flows'!$C$4:$BW$4,0)))-$AA$5)/$E$13))),IF(AO45=0,"",AO45))</f>
        <v/>
      </c>
      <c r="AK45" s="112" t="str">
        <f t="shared" si="39"/>
        <v/>
      </c>
      <c r="AL45" s="139" t="str">
        <f>IFERROR(IF($Z45&gt;$E$12,"",IF($E$5="Uniform Inputs",INDEX($D$45:$E$53,MATCH($AJ$3,$B$45:$B$53,0),MATCH(AL$4,$D$44:$E$44,0)),IF(AQ45=0,"",AQ45))),"")</f>
        <v/>
      </c>
      <c r="AM45" s="139" t="str">
        <f>IFERROR(IF($Z45&gt;$E$12,"",IF($E$5="Uniform Inputs",INDEX($D$45:$E$53,MATCH($AJ$3,$B$45:$B$53,0),MATCH(AM$4,$D$44:$E$44,0)),IF(AR45=0,"",AR45))),"")</f>
        <v/>
      </c>
      <c r="AN45" s="10" t="str">
        <f t="shared" si="40"/>
        <v/>
      </c>
      <c r="AO45" s="11" t="s">
        <v>22</v>
      </c>
      <c r="AP45" s="168" t="s">
        <v>22</v>
      </c>
      <c r="AQ45" s="11" t="s">
        <v>22</v>
      </c>
      <c r="AR45" s="11" t="s">
        <v>22</v>
      </c>
      <c r="AS45" s="139" t="str">
        <f>IF($E$5="Uniform Inputs",IF($Z45&gt;$E$14,"",IF($E$23="Pro-Rata",MIN(AU45*AN45,(($I$5+'Cash Flows'!$BX$8+INDEX('Cash Flows'!$C$19:$BW$19,1,MATCH(EOMONTH(AT45,MOD(-MONTH(AT45),3)-3),'Cash Flows'!$C$4:$BW$4,0)))-SUM($AJ$5,$AA$5))/$E$14),MIN($E$25,(($I$5+'Cash Flows'!$BX$8+INDEX('Cash Flows'!$C$19:$BW$19,1,MATCH(EOMONTH(AT45,MOD(-MONTH(AT45),3)-3),'Cash Flows'!$C$4:$BW$4,0)))-SUM($AJ$5,$AA$5))/$E$14))),IF(AX45=0,"",AX45))</f>
        <v/>
      </c>
      <c r="AT45" s="112" t="str">
        <f t="shared" si="41"/>
        <v/>
      </c>
      <c r="AU45" s="139" t="str">
        <f>IFERROR(IF($Z45&gt;$E$12,"",IF($E$5="Uniform Inputs",INDEX($D$45:$E$53,MATCH($AS$3,$B$45:$B$53,0),MATCH(AU$4,$D$44:$E$44,0)),IF(AZ45=0,"",AZ45))),"")</f>
        <v/>
      </c>
      <c r="AV45" s="139" t="str">
        <f>IFERROR(IF($Z45&gt;$E$12,"",IF($E$5="Uniform Inputs",INDEX($D$45:$E$53,MATCH($AS$3,$B$45:$B$53,0),MATCH(AV$4,$D$44:$E$44,0)),IF(BA45=0,"",BA45))),"")</f>
        <v/>
      </c>
      <c r="AW45" s="10" t="str">
        <f t="shared" si="42"/>
        <v/>
      </c>
      <c r="AX45" s="11" t="s">
        <v>22</v>
      </c>
      <c r="AY45" s="168" t="s">
        <v>22</v>
      </c>
      <c r="AZ45" s="11" t="s">
        <v>22</v>
      </c>
      <c r="BA45" s="11" t="s">
        <v>22</v>
      </c>
      <c r="BB45" s="139" t="str">
        <f>IF($E$5="Uniform Inputs",IF($Z45&gt;$E$15,"",IF($E$23="Pro-Rata",MIN(BD45*AW45,(($I$5+'Cash Flows'!$BX$8+INDEX('Cash Flows'!$C$19:$BW$19,1,MATCH(EOMONTH(BC45,MOD(-MONTH(BC45),3)-3),'Cash Flows'!$C$4:$BW$4,0)))-SUM($AS$5,$AJ$5,$AA$5))/$E$15),MIN($E$26,(($I$5+'Cash Flows'!$BX$8+INDEX('Cash Flows'!$C$19:$BW$19,1,MATCH(EOMONTH(BC45,MOD(-MONTH(BC45),3)-3),'Cash Flows'!$C$4:$BW$4,0)))-SUM($AS$5,$AJ$5,$AA$5))/$E$15))),IF(BG45=0,"",BG45))</f>
        <v/>
      </c>
      <c r="BC45" s="112" t="str">
        <f t="shared" si="43"/>
        <v/>
      </c>
      <c r="BD45" s="139" t="str">
        <f>IFERROR(IF($Z45&gt;$E$12,"",IF($E$5="Uniform Inputs",INDEX($D$45:$E$53,MATCH($BB$3,$B$45:$B$53,0),MATCH(BD$4,$D$44:$E$44,0)),IF(BI45=0,"",BI45))),"")</f>
        <v/>
      </c>
      <c r="BE45" s="139" t="str">
        <f>IFERROR(IF($Z45&gt;$E$12,"",IF($E$5="Uniform Inputs",INDEX($D$45:$E$53,MATCH($BB$3,$B$45:$B$53,0),MATCH(BE$4,$D$44:$E$44,0)),IF(BJ45=0,"",BJ45))),"")</f>
        <v/>
      </c>
      <c r="BF45" s="10" t="str">
        <f t="shared" si="44"/>
        <v/>
      </c>
      <c r="BG45" s="11" t="s">
        <v>22</v>
      </c>
      <c r="BH45" s="168" t="s">
        <v>22</v>
      </c>
      <c r="BI45" s="11" t="s">
        <v>22</v>
      </c>
      <c r="BJ45" s="11" t="s">
        <v>22</v>
      </c>
      <c r="BK45" s="139" t="str">
        <f>IF($E$5="Uniform Inputs",IF($Z45&gt;$E$16,"",IF($E$23="Pro-Rata",MIN(BM45*BF45,(($I$5+'Cash Flows'!$BX$8+INDEX('Cash Flows'!$C$19:$BW$19,1,MATCH(EOMONTH(BL45,MOD(-MONTH(BL45),3)-3),'Cash Flows'!$C$4:$BW$4,0)))-SUM($BB$5,$AS$5,$AJ$5,$AA$5))/$E$16),MIN($E$27,(($I$5+'Cash Flows'!$BX$8+INDEX('Cash Flows'!$C$19:$BW$19,1,MATCH(EOMONTH(BL45,MOD(-MONTH(BL45),3)-3),'Cash Flows'!$C$4:$BW$4,0)))-SUM($BB$5,$AS$5,$AJ$5,$AA$5))/$E$16))),IF(BP45=0,"",BP45))</f>
        <v/>
      </c>
      <c r="BL45" s="112" t="str">
        <f t="shared" si="45"/>
        <v/>
      </c>
      <c r="BM45" s="139" t="str">
        <f>IFERROR(IF($Z45&gt;$E$12,"",IF($E$5="Uniform Inputs",INDEX($D$45:$E$53,MATCH($BK$3,$B$45:$B$53,0),MATCH(BM$4,$D$44:$E$44,0)),IF(BR45=0,"",BR45))),"")</f>
        <v/>
      </c>
      <c r="BN45" s="139" t="str">
        <f>IFERROR(IF($Z45&gt;$E$12,"",IF($E$5="Uniform Inputs",INDEX($D$45:$E$53,MATCH($BK$3,$B$45:$B$53,0),MATCH(BN$4,$D$44:$E$44,0)),IF(BS45=0,"",BS45))),"")</f>
        <v/>
      </c>
      <c r="BO45" s="10" t="str">
        <f t="shared" si="46"/>
        <v/>
      </c>
      <c r="BP45" s="11" t="s">
        <v>22</v>
      </c>
      <c r="BQ45" s="168" t="s">
        <v>22</v>
      </c>
      <c r="BR45" s="11" t="s">
        <v>22</v>
      </c>
      <c r="BS45" s="11" t="s">
        <v>22</v>
      </c>
      <c r="BT45" s="139" t="str">
        <f t="shared" si="30"/>
        <v/>
      </c>
      <c r="BU45" s="112" t="str">
        <f t="shared" si="47"/>
        <v/>
      </c>
      <c r="BV45" s="139" t="str">
        <f>IFERROR(IF($Z45&gt;$E$12,"",IF($E$5="Uniform Inputs",INDEX($D$45:$E$53,MATCH($BT$3,$B$45:$B$53,0),MATCH(BV$4,$D$44:$E$44,0)),IF(CA45=0,"",CA45))),"")</f>
        <v/>
      </c>
      <c r="BW45" s="139" t="str">
        <f>IFERROR(IF($Z45&gt;$E$12,"",IF($E$5="Uniform Inputs",INDEX($D$45:$E$53,MATCH($BT$3,$B$45:$B$53,0),MATCH(BW$4,$D$44:$E$44,0)),IF(CB45=0,"",CB45))),"")</f>
        <v/>
      </c>
      <c r="BX45" s="10" t="str">
        <f t="shared" si="48"/>
        <v/>
      </c>
      <c r="BY45" s="11" t="s">
        <v>22</v>
      </c>
      <c r="BZ45" s="168" t="s">
        <v>22</v>
      </c>
      <c r="CA45" s="11" t="s">
        <v>22</v>
      </c>
      <c r="CB45" s="11" t="s">
        <v>22</v>
      </c>
      <c r="CC45" s="139" t="str">
        <f t="shared" si="31"/>
        <v/>
      </c>
      <c r="CD45" s="112" t="str">
        <f t="shared" si="49"/>
        <v/>
      </c>
      <c r="CE45" s="139" t="str">
        <f>IFERROR(IF($Z45&gt;$E$12,"",IF($E$5="Uniform Inputs",INDEX($D$45:$E$53,MATCH($CC$3,$B$45:$B$53,0),MATCH(CE$4,$D$44:$E$44,0)),IF(CJ45=0,"",CJ45))),"")</f>
        <v/>
      </c>
      <c r="CF45" s="139" t="str">
        <f>IFERROR(IF($Z45&gt;$E$12,"",IF($E$5="Uniform Inputs",INDEX($D$45:$E$53,MATCH($CC$3,$B$45:$B$53,0),MATCH(CF$4,$D$44:$E$44,0)),IF(CK45=0,"",CK45))),"")</f>
        <v/>
      </c>
      <c r="CG45" s="10" t="str">
        <f t="shared" si="50"/>
        <v/>
      </c>
      <c r="CH45" s="11" t="s">
        <v>22</v>
      </c>
      <c r="CI45" s="168" t="s">
        <v>22</v>
      </c>
      <c r="CJ45" s="11" t="s">
        <v>22</v>
      </c>
      <c r="CK45" s="11" t="s">
        <v>22</v>
      </c>
      <c r="CL45" s="139" t="str">
        <f t="shared" si="32"/>
        <v/>
      </c>
      <c r="CM45" s="112" t="str">
        <f t="shared" si="51"/>
        <v/>
      </c>
      <c r="CN45" s="139" t="str">
        <f>IFERROR(IF($Z45&gt;$E$12,"",IF($E$5="Uniform Inputs",INDEX($D$45:$E$53,MATCH($CL$3,$B$45:$B$53,0),MATCH(CN$4,$D$44:$E$44,0)),IF(CS45=0,"",CS45))),"")</f>
        <v/>
      </c>
      <c r="CO45" s="139" t="str">
        <f>IFERROR(IF($Z45&gt;$E$12,"",IF($E$5="Uniform Inputs",INDEX($D$45:$E$53,MATCH($CL$3,$B$45:$B$53,0),MATCH(CO$4,$D$44:$E$44,0)),IF(CT45=0,"",CT45))),"")</f>
        <v/>
      </c>
      <c r="CP45" s="10" t="str">
        <f t="shared" si="52"/>
        <v/>
      </c>
      <c r="CQ45" s="11" t="s">
        <v>22</v>
      </c>
      <c r="CR45" s="168" t="s">
        <v>22</v>
      </c>
      <c r="CS45" s="11" t="s">
        <v>22</v>
      </c>
      <c r="CT45" s="11" t="s">
        <v>22</v>
      </c>
      <c r="CU45" s="139" t="str">
        <f t="shared" si="33"/>
        <v/>
      </c>
      <c r="CV45" s="112" t="str">
        <f t="shared" si="53"/>
        <v/>
      </c>
      <c r="CW45" s="139" t="str">
        <f>IFERROR(IF($Z45&gt;$E$12,"",IF($E$5="Uniform Inputs",INDEX($D$45:$E$53,MATCH($CU$3,$B$45:$B$53,0),MATCH(CW$4,$D$44:$E$44,0)),IF(DB45=0,"",DB45))),"")</f>
        <v/>
      </c>
      <c r="CX45" s="139" t="str">
        <f>IFERROR(IF($Z45&gt;$E$12,"",IF($E$5="Uniform Inputs",INDEX($D$45:$E$53,MATCH($CU$3,$B$45:$B$53,0),MATCH(CX$4,$D$44:$E$44,0)),IF(DC45=0,"",DC45))),"")</f>
        <v/>
      </c>
      <c r="CY45" s="10" t="str">
        <f t="shared" si="54"/>
        <v/>
      </c>
      <c r="CZ45" s="11" t="s">
        <v>22</v>
      </c>
      <c r="DA45" s="168" t="s">
        <v>22</v>
      </c>
      <c r="DB45" s="11" t="s">
        <v>22</v>
      </c>
      <c r="DC45" s="11" t="s">
        <v>22</v>
      </c>
    </row>
    <row r="46" spans="2:107" x14ac:dyDescent="0.25">
      <c r="B46" s="137" t="s">
        <v>0</v>
      </c>
      <c r="C46" s="135"/>
      <c r="D46" s="136">
        <v>3000000</v>
      </c>
      <c r="E46" s="70">
        <v>11000000</v>
      </c>
      <c r="F46" s="8"/>
      <c r="G46" s="71">
        <v>12</v>
      </c>
      <c r="H46" s="162">
        <f ca="1">SUMIF('Cash Flows'!$C$2:$BW$2,Model!$G46,'Cash Flows'!$C$10:$BW$10)/'Cash Flows'!$BX$10</f>
        <v>0</v>
      </c>
      <c r="I46" s="162">
        <f ca="1">SUMIF('Cash Flows'!$C$2:$BW$2,Model!$G46,'Cash Flows'!$C$13:$BW$13)/-'Cash Flows'!$BX$10</f>
        <v>0</v>
      </c>
      <c r="J46" s="8"/>
      <c r="K46" s="6" t="str">
        <f t="shared" si="22"/>
        <v/>
      </c>
      <c r="L46" s="8"/>
      <c r="M46" s="8"/>
      <c r="N46" s="8"/>
      <c r="O46" s="6" t="str">
        <f t="shared" si="23"/>
        <v/>
      </c>
      <c r="P46" s="35" t="str">
        <f t="shared" si="34"/>
        <v/>
      </c>
      <c r="Q46" s="102" t="str">
        <f t="shared" si="35"/>
        <v/>
      </c>
      <c r="R46" s="102" t="str">
        <f t="shared" ca="1" si="36"/>
        <v/>
      </c>
      <c r="S46" s="112" t="str">
        <f t="shared" si="24"/>
        <v/>
      </c>
      <c r="T46" s="112" t="str">
        <f t="shared" ca="1" si="37"/>
        <v/>
      </c>
      <c r="U46" s="1" t="str">
        <f t="shared" si="25"/>
        <v/>
      </c>
      <c r="V46" s="1" t="str">
        <f t="shared" ca="1" si="38"/>
        <v/>
      </c>
      <c r="W46" s="34" t="str">
        <f t="shared" ca="1" si="26"/>
        <v/>
      </c>
      <c r="X46" s="8"/>
      <c r="Y46" s="2">
        <v>41</v>
      </c>
      <c r="Z46" s="6" t="str">
        <f t="shared" si="27"/>
        <v/>
      </c>
      <c r="AA46" s="139" t="str">
        <f>IF($E$5="Uniform Inputs",IF($Z46&gt;$E$12,"",MIN($E$21,($I$5+'Cash Flows'!$BX$8+INDEX('Cash Flows'!$C$19:$BW$19,1,MATCH(EOMONTH(AB46,MOD(-MONTH(AB46),3)-3),'Cash Flows'!$C$4:$BW$4,0)))/$E$12)),IF(AF46&gt;0,AF46,""))</f>
        <v/>
      </c>
      <c r="AB46" s="112" t="str">
        <f t="shared" si="55"/>
        <v/>
      </c>
      <c r="AC46" s="139" t="str">
        <f>IFERROR(IF($Z46&gt;$E$12,"",IF($E$5="Uniform Inputs",INDEX($D$45:$E$53,MATCH($AA$3,$B$45:$B$53,0),MATCH(AC$4,$D$44:$E$44,0)),IF(AH46=0,"",AH46))),"")</f>
        <v/>
      </c>
      <c r="AD46" s="139" t="str">
        <f>IFERROR(IF($Z46&gt;$E$12,"",IF($E$5="Uniform Inputs",INDEX($D$45:$E$53,MATCH($AA$3,$B$45:$B$53,0),MATCH(AD$4,$D$44:$E$44,0)),IF(AI46=0,"",AI46))),"")</f>
        <v/>
      </c>
      <c r="AE46" s="10" t="str">
        <f t="shared" si="29"/>
        <v/>
      </c>
      <c r="AF46" s="11" t="s">
        <v>22</v>
      </c>
      <c r="AG46" s="168" t="s">
        <v>22</v>
      </c>
      <c r="AH46" s="11" t="s">
        <v>22</v>
      </c>
      <c r="AI46" s="11" t="s">
        <v>22</v>
      </c>
      <c r="AJ46" s="139" t="str">
        <f>IF($E$5="Uniform Inputs",IF($Z46&gt;$E$13,"",IF($E$23="Pro-Rata",MIN(AL46*AE46,(($I$5+'Cash Flows'!$BX$8+INDEX('Cash Flows'!$C$19:$BW$19,1,MATCH(EOMONTH(AK46,MOD(-MONTH(AK46),3)-3),'Cash Flows'!$C$4:$BW$4,0)))-$AA$5)/$E$13),MIN($E$24,(($I$5+'Cash Flows'!$BX$8+INDEX('Cash Flows'!$C$19:$BW$19,1,MATCH(EOMONTH(AK46,MOD(-MONTH(AK46),3)-3),'Cash Flows'!$C$4:$BW$4,0)))-$AA$5)/$E$13))),IF(AO46=0,"",AO46))</f>
        <v/>
      </c>
      <c r="AK46" s="112" t="str">
        <f t="shared" si="39"/>
        <v/>
      </c>
      <c r="AL46" s="139" t="str">
        <f>IFERROR(IF($Z46&gt;$E$12,"",IF($E$5="Uniform Inputs",INDEX($D$45:$E$53,MATCH($AJ$3,$B$45:$B$53,0),MATCH(AL$4,$D$44:$E$44,0)),IF(AQ46=0,"",AQ46))),"")</f>
        <v/>
      </c>
      <c r="AM46" s="139" t="str">
        <f>IFERROR(IF($Z46&gt;$E$12,"",IF($E$5="Uniform Inputs",INDEX($D$45:$E$53,MATCH($AJ$3,$B$45:$B$53,0),MATCH(AM$4,$D$44:$E$44,0)),IF(AR46=0,"",AR46))),"")</f>
        <v/>
      </c>
      <c r="AN46" s="10" t="str">
        <f t="shared" si="40"/>
        <v/>
      </c>
      <c r="AO46" s="11" t="s">
        <v>22</v>
      </c>
      <c r="AP46" s="168" t="s">
        <v>22</v>
      </c>
      <c r="AQ46" s="11" t="s">
        <v>22</v>
      </c>
      <c r="AR46" s="11" t="s">
        <v>22</v>
      </c>
      <c r="AS46" s="139" t="str">
        <f>IF($E$5="Uniform Inputs",IF($Z46&gt;$E$14,"",IF($E$23="Pro-Rata",MIN(AU46*AN46,(($I$5+'Cash Flows'!$BX$8+INDEX('Cash Flows'!$C$19:$BW$19,1,MATCH(EOMONTH(AT46,MOD(-MONTH(AT46),3)-3),'Cash Flows'!$C$4:$BW$4,0)))-SUM($AJ$5,$AA$5))/$E$14),MIN($E$25,(($I$5+'Cash Flows'!$BX$8+INDEX('Cash Flows'!$C$19:$BW$19,1,MATCH(EOMONTH(AT46,MOD(-MONTH(AT46),3)-3),'Cash Flows'!$C$4:$BW$4,0)))-SUM($AJ$5,$AA$5))/$E$14))),IF(AX46=0,"",AX46))</f>
        <v/>
      </c>
      <c r="AT46" s="112" t="str">
        <f t="shared" si="41"/>
        <v/>
      </c>
      <c r="AU46" s="139" t="str">
        <f>IFERROR(IF($Z46&gt;$E$12,"",IF($E$5="Uniform Inputs",INDEX($D$45:$E$53,MATCH($AS$3,$B$45:$B$53,0),MATCH(AU$4,$D$44:$E$44,0)),IF(AZ46=0,"",AZ46))),"")</f>
        <v/>
      </c>
      <c r="AV46" s="139" t="str">
        <f>IFERROR(IF($Z46&gt;$E$12,"",IF($E$5="Uniform Inputs",INDEX($D$45:$E$53,MATCH($AS$3,$B$45:$B$53,0),MATCH(AV$4,$D$44:$E$44,0)),IF(BA46=0,"",BA46))),"")</f>
        <v/>
      </c>
      <c r="AW46" s="10" t="str">
        <f t="shared" si="42"/>
        <v/>
      </c>
      <c r="AX46" s="11" t="s">
        <v>22</v>
      </c>
      <c r="AY46" s="168" t="s">
        <v>22</v>
      </c>
      <c r="AZ46" s="11" t="s">
        <v>22</v>
      </c>
      <c r="BA46" s="11" t="s">
        <v>22</v>
      </c>
      <c r="BB46" s="139" t="str">
        <f>IF($E$5="Uniform Inputs",IF($Z46&gt;$E$15,"",IF($E$23="Pro-Rata",MIN(BD46*AW46,(($I$5+'Cash Flows'!$BX$8+INDEX('Cash Flows'!$C$19:$BW$19,1,MATCH(EOMONTH(BC46,MOD(-MONTH(BC46),3)-3),'Cash Flows'!$C$4:$BW$4,0)))-SUM($AS$5,$AJ$5,$AA$5))/$E$15),MIN($E$26,(($I$5+'Cash Flows'!$BX$8+INDEX('Cash Flows'!$C$19:$BW$19,1,MATCH(EOMONTH(BC46,MOD(-MONTH(BC46),3)-3),'Cash Flows'!$C$4:$BW$4,0)))-SUM($AS$5,$AJ$5,$AA$5))/$E$15))),IF(BG46=0,"",BG46))</f>
        <v/>
      </c>
      <c r="BC46" s="112" t="str">
        <f t="shared" si="43"/>
        <v/>
      </c>
      <c r="BD46" s="139" t="str">
        <f>IFERROR(IF($Z46&gt;$E$12,"",IF($E$5="Uniform Inputs",INDEX($D$45:$E$53,MATCH($BB$3,$B$45:$B$53,0),MATCH(BD$4,$D$44:$E$44,0)),IF(BI46=0,"",BI46))),"")</f>
        <v/>
      </c>
      <c r="BE46" s="139" t="str">
        <f>IFERROR(IF($Z46&gt;$E$12,"",IF($E$5="Uniform Inputs",INDEX($D$45:$E$53,MATCH($BB$3,$B$45:$B$53,0),MATCH(BE$4,$D$44:$E$44,0)),IF(BJ46=0,"",BJ46))),"")</f>
        <v/>
      </c>
      <c r="BF46" s="10" t="str">
        <f t="shared" si="44"/>
        <v/>
      </c>
      <c r="BG46" s="11" t="s">
        <v>22</v>
      </c>
      <c r="BH46" s="168" t="s">
        <v>22</v>
      </c>
      <c r="BI46" s="11" t="s">
        <v>22</v>
      </c>
      <c r="BJ46" s="11" t="s">
        <v>22</v>
      </c>
      <c r="BK46" s="139" t="str">
        <f>IF($E$5="Uniform Inputs",IF($Z46&gt;$E$16,"",IF($E$23="Pro-Rata",MIN(BM46*BF46,(($I$5+'Cash Flows'!$BX$8+INDEX('Cash Flows'!$C$19:$BW$19,1,MATCH(EOMONTH(BL46,MOD(-MONTH(BL46),3)-3),'Cash Flows'!$C$4:$BW$4,0)))-SUM($BB$5,$AS$5,$AJ$5,$AA$5))/$E$16),MIN($E$27,(($I$5+'Cash Flows'!$BX$8+INDEX('Cash Flows'!$C$19:$BW$19,1,MATCH(EOMONTH(BL46,MOD(-MONTH(BL46),3)-3),'Cash Flows'!$C$4:$BW$4,0)))-SUM($BB$5,$AS$5,$AJ$5,$AA$5))/$E$16))),IF(BP46=0,"",BP46))</f>
        <v/>
      </c>
      <c r="BL46" s="112" t="str">
        <f t="shared" si="45"/>
        <v/>
      </c>
      <c r="BM46" s="139" t="str">
        <f>IFERROR(IF($Z46&gt;$E$12,"",IF($E$5="Uniform Inputs",INDEX($D$45:$E$53,MATCH($BK$3,$B$45:$B$53,0),MATCH(BM$4,$D$44:$E$44,0)),IF(BR46=0,"",BR46))),"")</f>
        <v/>
      </c>
      <c r="BN46" s="139" t="str">
        <f>IFERROR(IF($Z46&gt;$E$12,"",IF($E$5="Uniform Inputs",INDEX($D$45:$E$53,MATCH($BK$3,$B$45:$B$53,0),MATCH(BN$4,$D$44:$E$44,0)),IF(BS46=0,"",BS46))),"")</f>
        <v/>
      </c>
      <c r="BO46" s="10" t="str">
        <f t="shared" si="46"/>
        <v/>
      </c>
      <c r="BP46" s="11" t="s">
        <v>22</v>
      </c>
      <c r="BQ46" s="168" t="s">
        <v>22</v>
      </c>
      <c r="BR46" s="11" t="s">
        <v>22</v>
      </c>
      <c r="BS46" s="11" t="s">
        <v>22</v>
      </c>
      <c r="BT46" s="139" t="str">
        <f t="shared" si="30"/>
        <v/>
      </c>
      <c r="BU46" s="112" t="str">
        <f t="shared" si="47"/>
        <v/>
      </c>
      <c r="BV46" s="139" t="str">
        <f>IFERROR(IF($Z46&gt;$E$12,"",IF($E$5="Uniform Inputs",INDEX($D$45:$E$53,MATCH($BT$3,$B$45:$B$53,0),MATCH(BV$4,$D$44:$E$44,0)),IF(CA46=0,"",CA46))),"")</f>
        <v/>
      </c>
      <c r="BW46" s="139" t="str">
        <f>IFERROR(IF($Z46&gt;$E$12,"",IF($E$5="Uniform Inputs",INDEX($D$45:$E$53,MATCH($BT$3,$B$45:$B$53,0),MATCH(BW$4,$D$44:$E$44,0)),IF(CB46=0,"",CB46))),"")</f>
        <v/>
      </c>
      <c r="BX46" s="10" t="str">
        <f t="shared" si="48"/>
        <v/>
      </c>
      <c r="BY46" s="11" t="s">
        <v>22</v>
      </c>
      <c r="BZ46" s="168" t="s">
        <v>22</v>
      </c>
      <c r="CA46" s="11" t="s">
        <v>22</v>
      </c>
      <c r="CB46" s="11" t="s">
        <v>22</v>
      </c>
      <c r="CC46" s="139" t="str">
        <f t="shared" si="31"/>
        <v/>
      </c>
      <c r="CD46" s="112" t="str">
        <f t="shared" si="49"/>
        <v/>
      </c>
      <c r="CE46" s="139" t="str">
        <f>IFERROR(IF($Z46&gt;$E$12,"",IF($E$5="Uniform Inputs",INDEX($D$45:$E$53,MATCH($CC$3,$B$45:$B$53,0),MATCH(CE$4,$D$44:$E$44,0)),IF(CJ46=0,"",CJ46))),"")</f>
        <v/>
      </c>
      <c r="CF46" s="139" t="str">
        <f>IFERROR(IF($Z46&gt;$E$12,"",IF($E$5="Uniform Inputs",INDEX($D$45:$E$53,MATCH($CC$3,$B$45:$B$53,0),MATCH(CF$4,$D$44:$E$44,0)),IF(CK46=0,"",CK46))),"")</f>
        <v/>
      </c>
      <c r="CG46" s="10" t="str">
        <f t="shared" si="50"/>
        <v/>
      </c>
      <c r="CH46" s="11" t="s">
        <v>22</v>
      </c>
      <c r="CI46" s="168" t="s">
        <v>22</v>
      </c>
      <c r="CJ46" s="11" t="s">
        <v>22</v>
      </c>
      <c r="CK46" s="11" t="s">
        <v>22</v>
      </c>
      <c r="CL46" s="139" t="str">
        <f t="shared" si="32"/>
        <v/>
      </c>
      <c r="CM46" s="112" t="str">
        <f t="shared" si="51"/>
        <v/>
      </c>
      <c r="CN46" s="139" t="str">
        <f>IFERROR(IF($Z46&gt;$E$12,"",IF($E$5="Uniform Inputs",INDEX($D$45:$E$53,MATCH($CL$3,$B$45:$B$53,0),MATCH(CN$4,$D$44:$E$44,0)),IF(CS46=0,"",CS46))),"")</f>
        <v/>
      </c>
      <c r="CO46" s="139" t="str">
        <f>IFERROR(IF($Z46&gt;$E$12,"",IF($E$5="Uniform Inputs",INDEX($D$45:$E$53,MATCH($CL$3,$B$45:$B$53,0),MATCH(CO$4,$D$44:$E$44,0)),IF(CT46=0,"",CT46))),"")</f>
        <v/>
      </c>
      <c r="CP46" s="10" t="str">
        <f t="shared" si="52"/>
        <v/>
      </c>
      <c r="CQ46" s="11" t="s">
        <v>22</v>
      </c>
      <c r="CR46" s="168" t="s">
        <v>22</v>
      </c>
      <c r="CS46" s="11" t="s">
        <v>22</v>
      </c>
      <c r="CT46" s="11" t="s">
        <v>22</v>
      </c>
      <c r="CU46" s="139" t="str">
        <f t="shared" si="33"/>
        <v/>
      </c>
      <c r="CV46" s="112" t="str">
        <f t="shared" si="53"/>
        <v/>
      </c>
      <c r="CW46" s="139" t="str">
        <f>IFERROR(IF($Z46&gt;$E$12,"",IF($E$5="Uniform Inputs",INDEX($D$45:$E$53,MATCH($CU$3,$B$45:$B$53,0),MATCH(CW$4,$D$44:$E$44,0)),IF(DB46=0,"",DB46))),"")</f>
        <v/>
      </c>
      <c r="CX46" s="139" t="str">
        <f>IFERROR(IF($Z46&gt;$E$12,"",IF($E$5="Uniform Inputs",INDEX($D$45:$E$53,MATCH($CU$3,$B$45:$B$53,0),MATCH(CX$4,$D$44:$E$44,0)),IF(DC46=0,"",DC46))),"")</f>
        <v/>
      </c>
      <c r="CY46" s="10" t="str">
        <f t="shared" si="54"/>
        <v/>
      </c>
      <c r="CZ46" s="11" t="s">
        <v>22</v>
      </c>
      <c r="DA46" s="168" t="s">
        <v>22</v>
      </c>
      <c r="DB46" s="11" t="s">
        <v>22</v>
      </c>
      <c r="DC46" s="11" t="s">
        <v>22</v>
      </c>
    </row>
    <row r="47" spans="2:107" x14ac:dyDescent="0.25">
      <c r="B47" s="137" t="s">
        <v>7</v>
      </c>
      <c r="C47" s="135"/>
      <c r="D47" s="136">
        <v>12000000</v>
      </c>
      <c r="E47" s="70">
        <v>48000000</v>
      </c>
      <c r="F47" s="8"/>
      <c r="G47" s="73">
        <v>13</v>
      </c>
      <c r="H47" s="162">
        <f ca="1">SUMIF('Cash Flows'!$C$2:$BW$2,Model!$G47,'Cash Flows'!$C$10:$BW$10)/'Cash Flows'!$BX$10</f>
        <v>0</v>
      </c>
      <c r="I47" s="162">
        <f ca="1">SUMIF('Cash Flows'!$C$2:$BW$2,Model!$G47,'Cash Flows'!$C$13:$BW$13)/-'Cash Flows'!$BX$10</f>
        <v>2.0266925413670833</v>
      </c>
      <c r="J47" s="8"/>
      <c r="K47" s="6" t="str">
        <f t="shared" si="22"/>
        <v/>
      </c>
      <c r="L47" s="8"/>
      <c r="M47" s="8"/>
      <c r="N47" s="8"/>
      <c r="O47" s="6" t="str">
        <f t="shared" si="23"/>
        <v/>
      </c>
      <c r="P47" s="35" t="str">
        <f t="shared" si="34"/>
        <v/>
      </c>
      <c r="Q47" s="102" t="str">
        <f t="shared" si="35"/>
        <v/>
      </c>
      <c r="R47" s="102" t="str">
        <f t="shared" ca="1" si="36"/>
        <v/>
      </c>
      <c r="S47" s="112" t="str">
        <f t="shared" si="24"/>
        <v/>
      </c>
      <c r="T47" s="112" t="str">
        <f t="shared" ca="1" si="37"/>
        <v/>
      </c>
      <c r="U47" s="1" t="str">
        <f t="shared" si="25"/>
        <v/>
      </c>
      <c r="V47" s="1" t="str">
        <f t="shared" ca="1" si="38"/>
        <v/>
      </c>
      <c r="W47" s="34" t="str">
        <f t="shared" ca="1" si="26"/>
        <v/>
      </c>
      <c r="X47" s="8"/>
      <c r="Y47" s="2">
        <v>42</v>
      </c>
      <c r="Z47" s="6" t="str">
        <f t="shared" si="27"/>
        <v/>
      </c>
      <c r="AA47" s="139" t="str">
        <f>IF($E$5="Uniform Inputs",IF($Z47&gt;$E$12,"",MIN($E$21,($I$5+'Cash Flows'!$BX$8+INDEX('Cash Flows'!$C$19:$BW$19,1,MATCH(EOMONTH(AB47,MOD(-MONTH(AB47),3)-3),'Cash Flows'!$C$4:$BW$4,0)))/$E$12)),IF(AF47&gt;0,AF47,""))</f>
        <v/>
      </c>
      <c r="AB47" s="112" t="str">
        <f t="shared" si="55"/>
        <v/>
      </c>
      <c r="AC47" s="139" t="str">
        <f>IFERROR(IF($Z47&gt;$E$12,"",IF($E$5="Uniform Inputs",INDEX($D$45:$E$53,MATCH($AA$3,$B$45:$B$53,0),MATCH(AC$4,$D$44:$E$44,0)),IF(AH47=0,"",AH47))),"")</f>
        <v/>
      </c>
      <c r="AD47" s="139" t="str">
        <f>IFERROR(IF($Z47&gt;$E$12,"",IF($E$5="Uniform Inputs",INDEX($D$45:$E$53,MATCH($AA$3,$B$45:$B$53,0),MATCH(AD$4,$D$44:$E$44,0)),IF(AI47=0,"",AI47))),"")</f>
        <v/>
      </c>
      <c r="AE47" s="10" t="str">
        <f t="shared" si="29"/>
        <v/>
      </c>
      <c r="AF47" s="11" t="s">
        <v>22</v>
      </c>
      <c r="AG47" s="168" t="s">
        <v>22</v>
      </c>
      <c r="AH47" s="11" t="s">
        <v>22</v>
      </c>
      <c r="AI47" s="11" t="s">
        <v>22</v>
      </c>
      <c r="AJ47" s="139" t="str">
        <f>IF($E$5="Uniform Inputs",IF($Z47&gt;$E$13,"",IF($E$23="Pro-Rata",MIN(AL47*AE47,(($I$5+'Cash Flows'!$BX$8+INDEX('Cash Flows'!$C$19:$BW$19,1,MATCH(EOMONTH(AK47,MOD(-MONTH(AK47),3)-3),'Cash Flows'!$C$4:$BW$4,0)))-$AA$5)/$E$13),MIN($E$24,(($I$5+'Cash Flows'!$BX$8+INDEX('Cash Flows'!$C$19:$BW$19,1,MATCH(EOMONTH(AK47,MOD(-MONTH(AK47),3)-3),'Cash Flows'!$C$4:$BW$4,0)))-$AA$5)/$E$13))),IF(AO47=0,"",AO47))</f>
        <v/>
      </c>
      <c r="AK47" s="112" t="str">
        <f t="shared" si="39"/>
        <v/>
      </c>
      <c r="AL47" s="139" t="str">
        <f>IFERROR(IF($Z47&gt;$E$12,"",IF($E$5="Uniform Inputs",INDEX($D$45:$E$53,MATCH($AJ$3,$B$45:$B$53,0),MATCH(AL$4,$D$44:$E$44,0)),IF(AQ47=0,"",AQ47))),"")</f>
        <v/>
      </c>
      <c r="AM47" s="139" t="str">
        <f>IFERROR(IF($Z47&gt;$E$12,"",IF($E$5="Uniform Inputs",INDEX($D$45:$E$53,MATCH($AJ$3,$B$45:$B$53,0),MATCH(AM$4,$D$44:$E$44,0)),IF(AR47=0,"",AR47))),"")</f>
        <v/>
      </c>
      <c r="AN47" s="10" t="str">
        <f t="shared" si="40"/>
        <v/>
      </c>
      <c r="AO47" s="11" t="s">
        <v>22</v>
      </c>
      <c r="AP47" s="168" t="s">
        <v>22</v>
      </c>
      <c r="AQ47" s="11" t="s">
        <v>22</v>
      </c>
      <c r="AR47" s="11" t="s">
        <v>22</v>
      </c>
      <c r="AS47" s="139" t="str">
        <f>IF($E$5="Uniform Inputs",IF($Z47&gt;$E$14,"",IF($E$23="Pro-Rata",MIN(AU47*AN47,(($I$5+'Cash Flows'!$BX$8+INDEX('Cash Flows'!$C$19:$BW$19,1,MATCH(EOMONTH(AT47,MOD(-MONTH(AT47),3)-3),'Cash Flows'!$C$4:$BW$4,0)))-SUM($AJ$5,$AA$5))/$E$14),MIN($E$25,(($I$5+'Cash Flows'!$BX$8+INDEX('Cash Flows'!$C$19:$BW$19,1,MATCH(EOMONTH(AT47,MOD(-MONTH(AT47),3)-3),'Cash Flows'!$C$4:$BW$4,0)))-SUM($AJ$5,$AA$5))/$E$14))),IF(AX47=0,"",AX47))</f>
        <v/>
      </c>
      <c r="AT47" s="112" t="str">
        <f t="shared" si="41"/>
        <v/>
      </c>
      <c r="AU47" s="139" t="str">
        <f>IFERROR(IF($Z47&gt;$E$12,"",IF($E$5="Uniform Inputs",INDEX($D$45:$E$53,MATCH($AS$3,$B$45:$B$53,0),MATCH(AU$4,$D$44:$E$44,0)),IF(AZ47=0,"",AZ47))),"")</f>
        <v/>
      </c>
      <c r="AV47" s="139" t="str">
        <f>IFERROR(IF($Z47&gt;$E$12,"",IF($E$5="Uniform Inputs",INDEX($D$45:$E$53,MATCH($AS$3,$B$45:$B$53,0),MATCH(AV$4,$D$44:$E$44,0)),IF(BA47=0,"",BA47))),"")</f>
        <v/>
      </c>
      <c r="AW47" s="10" t="str">
        <f t="shared" si="42"/>
        <v/>
      </c>
      <c r="AX47" s="11" t="s">
        <v>22</v>
      </c>
      <c r="AY47" s="168" t="s">
        <v>22</v>
      </c>
      <c r="AZ47" s="11" t="s">
        <v>22</v>
      </c>
      <c r="BA47" s="11" t="s">
        <v>22</v>
      </c>
      <c r="BB47" s="139" t="str">
        <f>IF($E$5="Uniform Inputs",IF($Z47&gt;$E$15,"",IF($E$23="Pro-Rata",MIN(BD47*AW47,(($I$5+'Cash Flows'!$BX$8+INDEX('Cash Flows'!$C$19:$BW$19,1,MATCH(EOMONTH(BC47,MOD(-MONTH(BC47),3)-3),'Cash Flows'!$C$4:$BW$4,0)))-SUM($AS$5,$AJ$5,$AA$5))/$E$15),MIN($E$26,(($I$5+'Cash Flows'!$BX$8+INDEX('Cash Flows'!$C$19:$BW$19,1,MATCH(EOMONTH(BC47,MOD(-MONTH(BC47),3)-3),'Cash Flows'!$C$4:$BW$4,0)))-SUM($AS$5,$AJ$5,$AA$5))/$E$15))),IF(BG47=0,"",BG47))</f>
        <v/>
      </c>
      <c r="BC47" s="112" t="str">
        <f t="shared" si="43"/>
        <v/>
      </c>
      <c r="BD47" s="139" t="str">
        <f>IFERROR(IF($Z47&gt;$E$12,"",IF($E$5="Uniform Inputs",INDEX($D$45:$E$53,MATCH($BB$3,$B$45:$B$53,0),MATCH(BD$4,$D$44:$E$44,0)),IF(BI47=0,"",BI47))),"")</f>
        <v/>
      </c>
      <c r="BE47" s="139" t="str">
        <f>IFERROR(IF($Z47&gt;$E$12,"",IF($E$5="Uniform Inputs",INDEX($D$45:$E$53,MATCH($BB$3,$B$45:$B$53,0),MATCH(BE$4,$D$44:$E$44,0)),IF(BJ47=0,"",BJ47))),"")</f>
        <v/>
      </c>
      <c r="BF47" s="10" t="str">
        <f t="shared" si="44"/>
        <v/>
      </c>
      <c r="BG47" s="11" t="s">
        <v>22</v>
      </c>
      <c r="BH47" s="168" t="s">
        <v>22</v>
      </c>
      <c r="BI47" s="11" t="s">
        <v>22</v>
      </c>
      <c r="BJ47" s="11" t="s">
        <v>22</v>
      </c>
      <c r="BK47" s="139" t="str">
        <f>IF($E$5="Uniform Inputs",IF($Z47&gt;$E$16,"",IF($E$23="Pro-Rata",MIN(BM47*BF47,(($I$5+'Cash Flows'!$BX$8+INDEX('Cash Flows'!$C$19:$BW$19,1,MATCH(EOMONTH(BL47,MOD(-MONTH(BL47),3)-3),'Cash Flows'!$C$4:$BW$4,0)))-SUM($BB$5,$AS$5,$AJ$5,$AA$5))/$E$16),MIN($E$27,(($I$5+'Cash Flows'!$BX$8+INDEX('Cash Flows'!$C$19:$BW$19,1,MATCH(EOMONTH(BL47,MOD(-MONTH(BL47),3)-3),'Cash Flows'!$C$4:$BW$4,0)))-SUM($BB$5,$AS$5,$AJ$5,$AA$5))/$E$16))),IF(BP47=0,"",BP47))</f>
        <v/>
      </c>
      <c r="BL47" s="112" t="str">
        <f t="shared" si="45"/>
        <v/>
      </c>
      <c r="BM47" s="139" t="str">
        <f>IFERROR(IF($Z47&gt;$E$12,"",IF($E$5="Uniform Inputs",INDEX($D$45:$E$53,MATCH($BK$3,$B$45:$B$53,0),MATCH(BM$4,$D$44:$E$44,0)),IF(BR47=0,"",BR47))),"")</f>
        <v/>
      </c>
      <c r="BN47" s="139" t="str">
        <f>IFERROR(IF($Z47&gt;$E$12,"",IF($E$5="Uniform Inputs",INDEX($D$45:$E$53,MATCH($BK$3,$B$45:$B$53,0),MATCH(BN$4,$D$44:$E$44,0)),IF(BS47=0,"",BS47))),"")</f>
        <v/>
      </c>
      <c r="BO47" s="10" t="str">
        <f t="shared" si="46"/>
        <v/>
      </c>
      <c r="BP47" s="11" t="s">
        <v>22</v>
      </c>
      <c r="BQ47" s="168" t="s">
        <v>22</v>
      </c>
      <c r="BR47" s="11" t="s">
        <v>22</v>
      </c>
      <c r="BS47" s="11" t="s">
        <v>22</v>
      </c>
      <c r="BT47" s="139" t="str">
        <f t="shared" si="30"/>
        <v/>
      </c>
      <c r="BU47" s="112" t="str">
        <f t="shared" si="47"/>
        <v/>
      </c>
      <c r="BV47" s="139" t="str">
        <f>IFERROR(IF($Z47&gt;$E$12,"",IF($E$5="Uniform Inputs",INDEX($D$45:$E$53,MATCH($BT$3,$B$45:$B$53,0),MATCH(BV$4,$D$44:$E$44,0)),IF(CA47=0,"",CA47))),"")</f>
        <v/>
      </c>
      <c r="BW47" s="139" t="str">
        <f>IFERROR(IF($Z47&gt;$E$12,"",IF($E$5="Uniform Inputs",INDEX($D$45:$E$53,MATCH($BT$3,$B$45:$B$53,0),MATCH(BW$4,$D$44:$E$44,0)),IF(CB47=0,"",CB47))),"")</f>
        <v/>
      </c>
      <c r="BX47" s="10" t="str">
        <f t="shared" si="48"/>
        <v/>
      </c>
      <c r="BY47" s="11" t="s">
        <v>22</v>
      </c>
      <c r="BZ47" s="168" t="s">
        <v>22</v>
      </c>
      <c r="CA47" s="11" t="s">
        <v>22</v>
      </c>
      <c r="CB47" s="11" t="s">
        <v>22</v>
      </c>
      <c r="CC47" s="139" t="str">
        <f t="shared" si="31"/>
        <v/>
      </c>
      <c r="CD47" s="112" t="str">
        <f t="shared" si="49"/>
        <v/>
      </c>
      <c r="CE47" s="139" t="str">
        <f>IFERROR(IF($Z47&gt;$E$12,"",IF($E$5="Uniform Inputs",INDEX($D$45:$E$53,MATCH($CC$3,$B$45:$B$53,0),MATCH(CE$4,$D$44:$E$44,0)),IF(CJ47=0,"",CJ47))),"")</f>
        <v/>
      </c>
      <c r="CF47" s="139" t="str">
        <f>IFERROR(IF($Z47&gt;$E$12,"",IF($E$5="Uniform Inputs",INDEX($D$45:$E$53,MATCH($CC$3,$B$45:$B$53,0),MATCH(CF$4,$D$44:$E$44,0)),IF(CK47=0,"",CK47))),"")</f>
        <v/>
      </c>
      <c r="CG47" s="10" t="str">
        <f t="shared" si="50"/>
        <v/>
      </c>
      <c r="CH47" s="11" t="s">
        <v>22</v>
      </c>
      <c r="CI47" s="168" t="s">
        <v>22</v>
      </c>
      <c r="CJ47" s="11" t="s">
        <v>22</v>
      </c>
      <c r="CK47" s="11" t="s">
        <v>22</v>
      </c>
      <c r="CL47" s="139" t="str">
        <f t="shared" si="32"/>
        <v/>
      </c>
      <c r="CM47" s="112" t="str">
        <f t="shared" si="51"/>
        <v/>
      </c>
      <c r="CN47" s="139" t="str">
        <f>IFERROR(IF($Z47&gt;$E$12,"",IF($E$5="Uniform Inputs",INDEX($D$45:$E$53,MATCH($CL$3,$B$45:$B$53,0),MATCH(CN$4,$D$44:$E$44,0)),IF(CS47=0,"",CS47))),"")</f>
        <v/>
      </c>
      <c r="CO47" s="139" t="str">
        <f>IFERROR(IF($Z47&gt;$E$12,"",IF($E$5="Uniform Inputs",INDEX($D$45:$E$53,MATCH($CL$3,$B$45:$B$53,0),MATCH(CO$4,$D$44:$E$44,0)),IF(CT47=0,"",CT47))),"")</f>
        <v/>
      </c>
      <c r="CP47" s="10" t="str">
        <f t="shared" si="52"/>
        <v/>
      </c>
      <c r="CQ47" s="11" t="s">
        <v>22</v>
      </c>
      <c r="CR47" s="168" t="s">
        <v>22</v>
      </c>
      <c r="CS47" s="11" t="s">
        <v>22</v>
      </c>
      <c r="CT47" s="11" t="s">
        <v>22</v>
      </c>
      <c r="CU47" s="139" t="str">
        <f t="shared" si="33"/>
        <v/>
      </c>
      <c r="CV47" s="112" t="str">
        <f t="shared" si="53"/>
        <v/>
      </c>
      <c r="CW47" s="139" t="str">
        <f>IFERROR(IF($Z47&gt;$E$12,"",IF($E$5="Uniform Inputs",INDEX($D$45:$E$53,MATCH($CU$3,$B$45:$B$53,0),MATCH(CW$4,$D$44:$E$44,0)),IF(DB47=0,"",DB47))),"")</f>
        <v/>
      </c>
      <c r="CX47" s="139" t="str">
        <f>IFERROR(IF($Z47&gt;$E$12,"",IF($E$5="Uniform Inputs",INDEX($D$45:$E$53,MATCH($CU$3,$B$45:$B$53,0),MATCH(CX$4,$D$44:$E$44,0)),IF(DC47=0,"",DC47))),"")</f>
        <v/>
      </c>
      <c r="CY47" s="10" t="str">
        <f t="shared" si="54"/>
        <v/>
      </c>
      <c r="CZ47" s="11" t="s">
        <v>22</v>
      </c>
      <c r="DA47" s="168" t="s">
        <v>22</v>
      </c>
      <c r="DB47" s="11" t="s">
        <v>22</v>
      </c>
      <c r="DC47" s="11" t="s">
        <v>22</v>
      </c>
    </row>
    <row r="48" spans="2:107" x14ac:dyDescent="0.25">
      <c r="B48" s="137" t="s">
        <v>6</v>
      </c>
      <c r="C48" s="135"/>
      <c r="D48" s="136">
        <v>31000000</v>
      </c>
      <c r="E48" s="70">
        <v>142000000</v>
      </c>
      <c r="F48" s="8"/>
      <c r="G48" s="71">
        <v>14</v>
      </c>
      <c r="H48" s="162">
        <f ca="1">SUMIF('Cash Flows'!$C$2:$BW$2,Model!$G48,'Cash Flows'!$C$10:$BW$10)/'Cash Flows'!$BX$10</f>
        <v>0</v>
      </c>
      <c r="I48" s="162">
        <f ca="1">SUMIF('Cash Flows'!$C$2:$BW$2,Model!$G48,'Cash Flows'!$C$13:$BW$13)/-'Cash Flows'!$BX$10</f>
        <v>0</v>
      </c>
      <c r="J48" s="8"/>
      <c r="K48" s="6" t="str">
        <f t="shared" si="22"/>
        <v/>
      </c>
      <c r="L48" s="8"/>
      <c r="M48" s="8"/>
      <c r="N48" s="8"/>
      <c r="O48" s="6" t="str">
        <f t="shared" si="23"/>
        <v/>
      </c>
      <c r="P48" s="35" t="str">
        <f t="shared" si="34"/>
        <v/>
      </c>
      <c r="Q48" s="102" t="str">
        <f t="shared" si="35"/>
        <v/>
      </c>
      <c r="R48" s="102" t="str">
        <f t="shared" ca="1" si="36"/>
        <v/>
      </c>
      <c r="S48" s="112" t="str">
        <f t="shared" si="24"/>
        <v/>
      </c>
      <c r="T48" s="112" t="str">
        <f t="shared" ca="1" si="37"/>
        <v/>
      </c>
      <c r="U48" s="1" t="str">
        <f t="shared" si="25"/>
        <v/>
      </c>
      <c r="V48" s="1" t="str">
        <f t="shared" ca="1" si="38"/>
        <v/>
      </c>
      <c r="W48" s="34" t="str">
        <f t="shared" ca="1" si="26"/>
        <v/>
      </c>
      <c r="X48" s="8"/>
      <c r="Y48" s="2">
        <v>43</v>
      </c>
      <c r="Z48" s="6" t="str">
        <f t="shared" si="27"/>
        <v/>
      </c>
      <c r="AA48" s="139" t="str">
        <f>IF($E$5="Uniform Inputs",IF($Z48&gt;$E$12,"",MIN($E$21,($I$5+'Cash Flows'!$BX$8+INDEX('Cash Flows'!$C$19:$BW$19,1,MATCH(EOMONTH(AB48,MOD(-MONTH(AB48),3)-3),'Cash Flows'!$C$4:$BW$4,0)))/$E$12)),IF(AF48&gt;0,AF48,""))</f>
        <v/>
      </c>
      <c r="AB48" s="112" t="str">
        <f t="shared" si="55"/>
        <v/>
      </c>
      <c r="AC48" s="139" t="str">
        <f>IFERROR(IF($Z48&gt;$E$12,"",IF($E$5="Uniform Inputs",INDEX($D$45:$E$53,MATCH($AA$3,$B$45:$B$53,0),MATCH(AC$4,$D$44:$E$44,0)),IF(AH48=0,"",AH48))),"")</f>
        <v/>
      </c>
      <c r="AD48" s="139" t="str">
        <f>IFERROR(IF($Z48&gt;$E$12,"",IF($E$5="Uniform Inputs",INDEX($D$45:$E$53,MATCH($AA$3,$B$45:$B$53,0),MATCH(AD$4,$D$44:$E$44,0)),IF(AI48=0,"",AI48))),"")</f>
        <v/>
      </c>
      <c r="AE48" s="10" t="str">
        <f t="shared" si="29"/>
        <v/>
      </c>
      <c r="AF48" s="11" t="s">
        <v>22</v>
      </c>
      <c r="AG48" s="168" t="s">
        <v>22</v>
      </c>
      <c r="AH48" s="11" t="s">
        <v>22</v>
      </c>
      <c r="AI48" s="11" t="s">
        <v>22</v>
      </c>
      <c r="AJ48" s="139" t="str">
        <f>IF($E$5="Uniform Inputs",IF($Z48&gt;$E$13,"",IF($E$23="Pro-Rata",MIN(AL48*AE48,(($I$5+'Cash Flows'!$BX$8+INDEX('Cash Flows'!$C$19:$BW$19,1,MATCH(EOMONTH(AK48,MOD(-MONTH(AK48),3)-3),'Cash Flows'!$C$4:$BW$4,0)))-$AA$5)/$E$13),MIN($E$24,(($I$5+'Cash Flows'!$BX$8+INDEX('Cash Flows'!$C$19:$BW$19,1,MATCH(EOMONTH(AK48,MOD(-MONTH(AK48),3)-3),'Cash Flows'!$C$4:$BW$4,0)))-$AA$5)/$E$13))),IF(AO48=0,"",AO48))</f>
        <v/>
      </c>
      <c r="AK48" s="112" t="str">
        <f t="shared" si="39"/>
        <v/>
      </c>
      <c r="AL48" s="139" t="str">
        <f>IFERROR(IF($Z48&gt;$E$12,"",IF($E$5="Uniform Inputs",INDEX($D$45:$E$53,MATCH($AJ$3,$B$45:$B$53,0),MATCH(AL$4,$D$44:$E$44,0)),IF(AQ48=0,"",AQ48))),"")</f>
        <v/>
      </c>
      <c r="AM48" s="139" t="str">
        <f>IFERROR(IF($Z48&gt;$E$12,"",IF($E$5="Uniform Inputs",INDEX($D$45:$E$53,MATCH($AJ$3,$B$45:$B$53,0),MATCH(AM$4,$D$44:$E$44,0)),IF(AR48=0,"",AR48))),"")</f>
        <v/>
      </c>
      <c r="AN48" s="10" t="str">
        <f t="shared" si="40"/>
        <v/>
      </c>
      <c r="AO48" s="11" t="s">
        <v>22</v>
      </c>
      <c r="AP48" s="168" t="s">
        <v>22</v>
      </c>
      <c r="AQ48" s="11" t="s">
        <v>22</v>
      </c>
      <c r="AR48" s="11" t="s">
        <v>22</v>
      </c>
      <c r="AS48" s="139" t="str">
        <f>IF($E$5="Uniform Inputs",IF($Z48&gt;$E$14,"",IF($E$23="Pro-Rata",MIN(AU48*AN48,(($I$5+'Cash Flows'!$BX$8+INDEX('Cash Flows'!$C$19:$BW$19,1,MATCH(EOMONTH(AT48,MOD(-MONTH(AT48),3)-3),'Cash Flows'!$C$4:$BW$4,0)))-SUM($AJ$5,$AA$5))/$E$14),MIN($E$25,(($I$5+'Cash Flows'!$BX$8+INDEX('Cash Flows'!$C$19:$BW$19,1,MATCH(EOMONTH(AT48,MOD(-MONTH(AT48),3)-3),'Cash Flows'!$C$4:$BW$4,0)))-SUM($AJ$5,$AA$5))/$E$14))),IF(AX48=0,"",AX48))</f>
        <v/>
      </c>
      <c r="AT48" s="112" t="str">
        <f t="shared" si="41"/>
        <v/>
      </c>
      <c r="AU48" s="139" t="str">
        <f>IFERROR(IF($Z48&gt;$E$12,"",IF($E$5="Uniform Inputs",INDEX($D$45:$E$53,MATCH($AS$3,$B$45:$B$53,0),MATCH(AU$4,$D$44:$E$44,0)),IF(AZ48=0,"",AZ48))),"")</f>
        <v/>
      </c>
      <c r="AV48" s="139" t="str">
        <f>IFERROR(IF($Z48&gt;$E$12,"",IF($E$5="Uniform Inputs",INDEX($D$45:$E$53,MATCH($AS$3,$B$45:$B$53,0),MATCH(AV$4,$D$44:$E$44,0)),IF(BA48=0,"",BA48))),"")</f>
        <v/>
      </c>
      <c r="AW48" s="10" t="str">
        <f t="shared" si="42"/>
        <v/>
      </c>
      <c r="AX48" s="11" t="s">
        <v>22</v>
      </c>
      <c r="AY48" s="168" t="s">
        <v>22</v>
      </c>
      <c r="AZ48" s="11" t="s">
        <v>22</v>
      </c>
      <c r="BA48" s="11" t="s">
        <v>22</v>
      </c>
      <c r="BB48" s="139" t="str">
        <f>IF($E$5="Uniform Inputs",IF($Z48&gt;$E$15,"",IF($E$23="Pro-Rata",MIN(BD48*AW48,(($I$5+'Cash Flows'!$BX$8+INDEX('Cash Flows'!$C$19:$BW$19,1,MATCH(EOMONTH(BC48,MOD(-MONTH(BC48),3)-3),'Cash Flows'!$C$4:$BW$4,0)))-SUM($AS$5,$AJ$5,$AA$5))/$E$15),MIN($E$26,(($I$5+'Cash Flows'!$BX$8+INDEX('Cash Flows'!$C$19:$BW$19,1,MATCH(EOMONTH(BC48,MOD(-MONTH(BC48),3)-3),'Cash Flows'!$C$4:$BW$4,0)))-SUM($AS$5,$AJ$5,$AA$5))/$E$15))),IF(BG48=0,"",BG48))</f>
        <v/>
      </c>
      <c r="BC48" s="112" t="str">
        <f t="shared" si="43"/>
        <v/>
      </c>
      <c r="BD48" s="139" t="str">
        <f>IFERROR(IF($Z48&gt;$E$12,"",IF($E$5="Uniform Inputs",INDEX($D$45:$E$53,MATCH($BB$3,$B$45:$B$53,0),MATCH(BD$4,$D$44:$E$44,0)),IF(BI48=0,"",BI48))),"")</f>
        <v/>
      </c>
      <c r="BE48" s="139" t="str">
        <f>IFERROR(IF($Z48&gt;$E$12,"",IF($E$5="Uniform Inputs",INDEX($D$45:$E$53,MATCH($BB$3,$B$45:$B$53,0),MATCH(BE$4,$D$44:$E$44,0)),IF(BJ48=0,"",BJ48))),"")</f>
        <v/>
      </c>
      <c r="BF48" s="10" t="str">
        <f t="shared" si="44"/>
        <v/>
      </c>
      <c r="BG48" s="11" t="s">
        <v>22</v>
      </c>
      <c r="BH48" s="168" t="s">
        <v>22</v>
      </c>
      <c r="BI48" s="11" t="s">
        <v>22</v>
      </c>
      <c r="BJ48" s="11" t="s">
        <v>22</v>
      </c>
      <c r="BK48" s="139" t="str">
        <f>IF($E$5="Uniform Inputs",IF($Z48&gt;$E$16,"",IF($E$23="Pro-Rata",MIN(BM48*BF48,(($I$5+'Cash Flows'!$BX$8+INDEX('Cash Flows'!$C$19:$BW$19,1,MATCH(EOMONTH(BL48,MOD(-MONTH(BL48),3)-3),'Cash Flows'!$C$4:$BW$4,0)))-SUM($BB$5,$AS$5,$AJ$5,$AA$5))/$E$16),MIN($E$27,(($I$5+'Cash Flows'!$BX$8+INDEX('Cash Flows'!$C$19:$BW$19,1,MATCH(EOMONTH(BL48,MOD(-MONTH(BL48),3)-3),'Cash Flows'!$C$4:$BW$4,0)))-SUM($BB$5,$AS$5,$AJ$5,$AA$5))/$E$16))),IF(BP48=0,"",BP48))</f>
        <v/>
      </c>
      <c r="BL48" s="112" t="str">
        <f t="shared" si="45"/>
        <v/>
      </c>
      <c r="BM48" s="139" t="str">
        <f>IFERROR(IF($Z48&gt;$E$12,"",IF($E$5="Uniform Inputs",INDEX($D$45:$E$53,MATCH($BK$3,$B$45:$B$53,0),MATCH(BM$4,$D$44:$E$44,0)),IF(BR48=0,"",BR48))),"")</f>
        <v/>
      </c>
      <c r="BN48" s="139" t="str">
        <f>IFERROR(IF($Z48&gt;$E$12,"",IF($E$5="Uniform Inputs",INDEX($D$45:$E$53,MATCH($BK$3,$B$45:$B$53,0),MATCH(BN$4,$D$44:$E$44,0)),IF(BS48=0,"",BS48))),"")</f>
        <v/>
      </c>
      <c r="BO48" s="10" t="str">
        <f t="shared" si="46"/>
        <v/>
      </c>
      <c r="BP48" s="11" t="s">
        <v>22</v>
      </c>
      <c r="BQ48" s="168" t="s">
        <v>22</v>
      </c>
      <c r="BR48" s="11" t="s">
        <v>22</v>
      </c>
      <c r="BS48" s="11" t="s">
        <v>22</v>
      </c>
      <c r="BT48" s="139" t="str">
        <f t="shared" si="30"/>
        <v/>
      </c>
      <c r="BU48" s="112" t="str">
        <f t="shared" si="47"/>
        <v/>
      </c>
      <c r="BV48" s="139" t="str">
        <f>IFERROR(IF($Z48&gt;$E$12,"",IF($E$5="Uniform Inputs",INDEX($D$45:$E$53,MATCH($BT$3,$B$45:$B$53,0),MATCH(BV$4,$D$44:$E$44,0)),IF(CA48=0,"",CA48))),"")</f>
        <v/>
      </c>
      <c r="BW48" s="139" t="str">
        <f>IFERROR(IF($Z48&gt;$E$12,"",IF($E$5="Uniform Inputs",INDEX($D$45:$E$53,MATCH($BT$3,$B$45:$B$53,0),MATCH(BW$4,$D$44:$E$44,0)),IF(CB48=0,"",CB48))),"")</f>
        <v/>
      </c>
      <c r="BX48" s="10" t="str">
        <f t="shared" si="48"/>
        <v/>
      </c>
      <c r="BY48" s="11" t="s">
        <v>22</v>
      </c>
      <c r="BZ48" s="168" t="s">
        <v>22</v>
      </c>
      <c r="CA48" s="11" t="s">
        <v>22</v>
      </c>
      <c r="CB48" s="11" t="s">
        <v>22</v>
      </c>
      <c r="CC48" s="139" t="str">
        <f t="shared" si="31"/>
        <v/>
      </c>
      <c r="CD48" s="112" t="str">
        <f t="shared" si="49"/>
        <v/>
      </c>
      <c r="CE48" s="139" t="str">
        <f>IFERROR(IF($Z48&gt;$E$12,"",IF($E$5="Uniform Inputs",INDEX($D$45:$E$53,MATCH($CC$3,$B$45:$B$53,0),MATCH(CE$4,$D$44:$E$44,0)),IF(CJ48=0,"",CJ48))),"")</f>
        <v/>
      </c>
      <c r="CF48" s="139" t="str">
        <f>IFERROR(IF($Z48&gt;$E$12,"",IF($E$5="Uniform Inputs",INDEX($D$45:$E$53,MATCH($CC$3,$B$45:$B$53,0),MATCH(CF$4,$D$44:$E$44,0)),IF(CK48=0,"",CK48))),"")</f>
        <v/>
      </c>
      <c r="CG48" s="10" t="str">
        <f t="shared" si="50"/>
        <v/>
      </c>
      <c r="CH48" s="11" t="s">
        <v>22</v>
      </c>
      <c r="CI48" s="168" t="s">
        <v>22</v>
      </c>
      <c r="CJ48" s="11" t="s">
        <v>22</v>
      </c>
      <c r="CK48" s="11" t="s">
        <v>22</v>
      </c>
      <c r="CL48" s="139" t="str">
        <f t="shared" si="32"/>
        <v/>
      </c>
      <c r="CM48" s="112" t="str">
        <f t="shared" si="51"/>
        <v/>
      </c>
      <c r="CN48" s="139" t="str">
        <f>IFERROR(IF($Z48&gt;$E$12,"",IF($E$5="Uniform Inputs",INDEX($D$45:$E$53,MATCH($CL$3,$B$45:$B$53,0),MATCH(CN$4,$D$44:$E$44,0)),IF(CS48=0,"",CS48))),"")</f>
        <v/>
      </c>
      <c r="CO48" s="139" t="str">
        <f>IFERROR(IF($Z48&gt;$E$12,"",IF($E$5="Uniform Inputs",INDEX($D$45:$E$53,MATCH($CL$3,$B$45:$B$53,0),MATCH(CO$4,$D$44:$E$44,0)),IF(CT48=0,"",CT48))),"")</f>
        <v/>
      </c>
      <c r="CP48" s="10" t="str">
        <f t="shared" si="52"/>
        <v/>
      </c>
      <c r="CQ48" s="11" t="s">
        <v>22</v>
      </c>
      <c r="CR48" s="168" t="s">
        <v>22</v>
      </c>
      <c r="CS48" s="11" t="s">
        <v>22</v>
      </c>
      <c r="CT48" s="11" t="s">
        <v>22</v>
      </c>
      <c r="CU48" s="139" t="str">
        <f t="shared" si="33"/>
        <v/>
      </c>
      <c r="CV48" s="112" t="str">
        <f t="shared" si="53"/>
        <v/>
      </c>
      <c r="CW48" s="139" t="str">
        <f>IFERROR(IF($Z48&gt;$E$12,"",IF($E$5="Uniform Inputs",INDEX($D$45:$E$53,MATCH($CU$3,$B$45:$B$53,0),MATCH(CW$4,$D$44:$E$44,0)),IF(DB48=0,"",DB48))),"")</f>
        <v/>
      </c>
      <c r="CX48" s="139" t="str">
        <f>IFERROR(IF($Z48&gt;$E$12,"",IF($E$5="Uniform Inputs",INDEX($D$45:$E$53,MATCH($CU$3,$B$45:$B$53,0),MATCH(CX$4,$D$44:$E$44,0)),IF(DC48=0,"",DC48))),"")</f>
        <v/>
      </c>
      <c r="CY48" s="10" t="str">
        <f t="shared" si="54"/>
        <v/>
      </c>
      <c r="CZ48" s="11" t="s">
        <v>22</v>
      </c>
      <c r="DA48" s="168" t="s">
        <v>22</v>
      </c>
      <c r="DB48" s="11" t="s">
        <v>22</v>
      </c>
      <c r="DC48" s="11" t="s">
        <v>22</v>
      </c>
    </row>
    <row r="49" spans="2:107" x14ac:dyDescent="0.25">
      <c r="B49" s="137" t="s">
        <v>8</v>
      </c>
      <c r="C49" s="135"/>
      <c r="D49" s="136">
        <v>70000000</v>
      </c>
      <c r="E49" s="70">
        <v>375000000</v>
      </c>
      <c r="F49" s="8"/>
      <c r="G49" s="73">
        <v>15</v>
      </c>
      <c r="H49" s="162">
        <f ca="1">SUMIF('Cash Flows'!$C$2:$BW$2,Model!$G49,'Cash Flows'!$C$10:$BW$10)/'Cash Flows'!$BX$10</f>
        <v>0</v>
      </c>
      <c r="I49" s="162">
        <f ca="1">SUMIF('Cash Flows'!$C$2:$BW$2,Model!$G49,'Cash Flows'!$C$13:$BW$13)/-'Cash Flows'!$BX$10</f>
        <v>0</v>
      </c>
      <c r="J49" s="8"/>
      <c r="K49" s="6" t="str">
        <f t="shared" si="22"/>
        <v/>
      </c>
      <c r="L49" s="8"/>
      <c r="M49" s="8"/>
      <c r="N49" s="8"/>
      <c r="O49" s="6" t="str">
        <f t="shared" si="23"/>
        <v/>
      </c>
      <c r="P49" s="35" t="str">
        <f t="shared" si="34"/>
        <v/>
      </c>
      <c r="Q49" s="102" t="str">
        <f t="shared" si="35"/>
        <v/>
      </c>
      <c r="R49" s="102" t="str">
        <f t="shared" ca="1" si="36"/>
        <v/>
      </c>
      <c r="S49" s="112" t="str">
        <f t="shared" si="24"/>
        <v/>
      </c>
      <c r="T49" s="112" t="str">
        <f t="shared" ca="1" si="37"/>
        <v/>
      </c>
      <c r="U49" s="1" t="str">
        <f t="shared" si="25"/>
        <v/>
      </c>
      <c r="V49" s="1" t="str">
        <f t="shared" ca="1" si="38"/>
        <v/>
      </c>
      <c r="W49" s="34" t="str">
        <f t="shared" ca="1" si="26"/>
        <v/>
      </c>
      <c r="X49" s="8"/>
      <c r="Y49" s="2">
        <v>44</v>
      </c>
      <c r="Z49" s="6" t="str">
        <f t="shared" si="27"/>
        <v/>
      </c>
      <c r="AA49" s="139" t="str">
        <f>IF($E$5="Uniform Inputs",IF($Z49&gt;$E$12,"",MIN($E$21,($I$5+'Cash Flows'!$BX$8+INDEX('Cash Flows'!$C$19:$BW$19,1,MATCH(EOMONTH(AB49,MOD(-MONTH(AB49),3)-3),'Cash Flows'!$C$4:$BW$4,0)))/$E$12)),IF(AF49&gt;0,AF49,""))</f>
        <v/>
      </c>
      <c r="AB49" s="112" t="str">
        <f t="shared" si="55"/>
        <v/>
      </c>
      <c r="AC49" s="139" t="str">
        <f>IFERROR(IF($Z49&gt;$E$12,"",IF($E$5="Uniform Inputs",INDEX($D$45:$E$53,MATCH($AA$3,$B$45:$B$53,0),MATCH(AC$4,$D$44:$E$44,0)),IF(AH49=0,"",AH49))),"")</f>
        <v/>
      </c>
      <c r="AD49" s="139" t="str">
        <f>IFERROR(IF($Z49&gt;$E$12,"",IF($E$5="Uniform Inputs",INDEX($D$45:$E$53,MATCH($AA$3,$B$45:$B$53,0),MATCH(AD$4,$D$44:$E$44,0)),IF(AI49=0,"",AI49))),"")</f>
        <v/>
      </c>
      <c r="AE49" s="10" t="str">
        <f t="shared" si="29"/>
        <v/>
      </c>
      <c r="AF49" s="11" t="s">
        <v>22</v>
      </c>
      <c r="AG49" s="168" t="s">
        <v>22</v>
      </c>
      <c r="AH49" s="11" t="s">
        <v>22</v>
      </c>
      <c r="AI49" s="11" t="s">
        <v>22</v>
      </c>
      <c r="AJ49" s="139" t="str">
        <f>IF($E$5="Uniform Inputs",IF($Z49&gt;$E$13,"",IF($E$23="Pro-Rata",MIN(AL49*AE49,(($I$5+'Cash Flows'!$BX$8+INDEX('Cash Flows'!$C$19:$BW$19,1,MATCH(EOMONTH(AK49,MOD(-MONTH(AK49),3)-3),'Cash Flows'!$C$4:$BW$4,0)))-$AA$5)/$E$13),MIN($E$24,(($I$5+'Cash Flows'!$BX$8+INDEX('Cash Flows'!$C$19:$BW$19,1,MATCH(EOMONTH(AK49,MOD(-MONTH(AK49),3)-3),'Cash Flows'!$C$4:$BW$4,0)))-$AA$5)/$E$13))),IF(AO49=0,"",AO49))</f>
        <v/>
      </c>
      <c r="AK49" s="112" t="str">
        <f t="shared" si="39"/>
        <v/>
      </c>
      <c r="AL49" s="139" t="str">
        <f>IFERROR(IF($Z49&gt;$E$12,"",IF($E$5="Uniform Inputs",INDEX($D$45:$E$53,MATCH($AJ$3,$B$45:$B$53,0),MATCH(AL$4,$D$44:$E$44,0)),IF(AQ49=0,"",AQ49))),"")</f>
        <v/>
      </c>
      <c r="AM49" s="139" t="str">
        <f>IFERROR(IF($Z49&gt;$E$12,"",IF($E$5="Uniform Inputs",INDEX($D$45:$E$53,MATCH($AJ$3,$B$45:$B$53,0),MATCH(AM$4,$D$44:$E$44,0)),IF(AR49=0,"",AR49))),"")</f>
        <v/>
      </c>
      <c r="AN49" s="10" t="str">
        <f t="shared" si="40"/>
        <v/>
      </c>
      <c r="AO49" s="11" t="s">
        <v>22</v>
      </c>
      <c r="AP49" s="168" t="s">
        <v>22</v>
      </c>
      <c r="AQ49" s="11" t="s">
        <v>22</v>
      </c>
      <c r="AR49" s="11" t="s">
        <v>22</v>
      </c>
      <c r="AS49" s="139" t="str">
        <f>IF($E$5="Uniform Inputs",IF($Z49&gt;$E$14,"",IF($E$23="Pro-Rata",MIN(AU49*AN49,(($I$5+'Cash Flows'!$BX$8+INDEX('Cash Flows'!$C$19:$BW$19,1,MATCH(EOMONTH(AT49,MOD(-MONTH(AT49),3)-3),'Cash Flows'!$C$4:$BW$4,0)))-SUM($AJ$5,$AA$5))/$E$14),MIN($E$25,(($I$5+'Cash Flows'!$BX$8+INDEX('Cash Flows'!$C$19:$BW$19,1,MATCH(EOMONTH(AT49,MOD(-MONTH(AT49),3)-3),'Cash Flows'!$C$4:$BW$4,0)))-SUM($AJ$5,$AA$5))/$E$14))),IF(AX49=0,"",AX49))</f>
        <v/>
      </c>
      <c r="AT49" s="112" t="str">
        <f t="shared" si="41"/>
        <v/>
      </c>
      <c r="AU49" s="139" t="str">
        <f>IFERROR(IF($Z49&gt;$E$12,"",IF($E$5="Uniform Inputs",INDEX($D$45:$E$53,MATCH($AS$3,$B$45:$B$53,0),MATCH(AU$4,$D$44:$E$44,0)),IF(AZ49=0,"",AZ49))),"")</f>
        <v/>
      </c>
      <c r="AV49" s="139" t="str">
        <f>IFERROR(IF($Z49&gt;$E$12,"",IF($E$5="Uniform Inputs",INDEX($D$45:$E$53,MATCH($AS$3,$B$45:$B$53,0),MATCH(AV$4,$D$44:$E$44,0)),IF(BA49=0,"",BA49))),"")</f>
        <v/>
      </c>
      <c r="AW49" s="10" t="str">
        <f t="shared" si="42"/>
        <v/>
      </c>
      <c r="AX49" s="11" t="s">
        <v>22</v>
      </c>
      <c r="AY49" s="168" t="s">
        <v>22</v>
      </c>
      <c r="AZ49" s="11" t="s">
        <v>22</v>
      </c>
      <c r="BA49" s="11" t="s">
        <v>22</v>
      </c>
      <c r="BB49" s="139" t="str">
        <f>IF($E$5="Uniform Inputs",IF($Z49&gt;$E$15,"",IF($E$23="Pro-Rata",MIN(BD49*AW49,(($I$5+'Cash Flows'!$BX$8+INDEX('Cash Flows'!$C$19:$BW$19,1,MATCH(EOMONTH(BC49,MOD(-MONTH(BC49),3)-3),'Cash Flows'!$C$4:$BW$4,0)))-SUM($AS$5,$AJ$5,$AA$5))/$E$15),MIN($E$26,(($I$5+'Cash Flows'!$BX$8+INDEX('Cash Flows'!$C$19:$BW$19,1,MATCH(EOMONTH(BC49,MOD(-MONTH(BC49),3)-3),'Cash Flows'!$C$4:$BW$4,0)))-SUM($AS$5,$AJ$5,$AA$5))/$E$15))),IF(BG49=0,"",BG49))</f>
        <v/>
      </c>
      <c r="BC49" s="112" t="str">
        <f t="shared" si="43"/>
        <v/>
      </c>
      <c r="BD49" s="139" t="str">
        <f>IFERROR(IF($Z49&gt;$E$12,"",IF($E$5="Uniform Inputs",INDEX($D$45:$E$53,MATCH($BB$3,$B$45:$B$53,0),MATCH(BD$4,$D$44:$E$44,0)),IF(BI49=0,"",BI49))),"")</f>
        <v/>
      </c>
      <c r="BE49" s="139" t="str">
        <f>IFERROR(IF($Z49&gt;$E$12,"",IF($E$5="Uniform Inputs",INDEX($D$45:$E$53,MATCH($BB$3,$B$45:$B$53,0),MATCH(BE$4,$D$44:$E$44,0)),IF(BJ49=0,"",BJ49))),"")</f>
        <v/>
      </c>
      <c r="BF49" s="10" t="str">
        <f t="shared" si="44"/>
        <v/>
      </c>
      <c r="BG49" s="11" t="s">
        <v>22</v>
      </c>
      <c r="BH49" s="168" t="s">
        <v>22</v>
      </c>
      <c r="BI49" s="11" t="s">
        <v>22</v>
      </c>
      <c r="BJ49" s="11" t="s">
        <v>22</v>
      </c>
      <c r="BK49" s="139" t="str">
        <f>IF($E$5="Uniform Inputs",IF($Z49&gt;$E$16,"",IF($E$23="Pro-Rata",MIN(BM49*BF49,(($I$5+'Cash Flows'!$BX$8+INDEX('Cash Flows'!$C$19:$BW$19,1,MATCH(EOMONTH(BL49,MOD(-MONTH(BL49),3)-3),'Cash Flows'!$C$4:$BW$4,0)))-SUM($BB$5,$AS$5,$AJ$5,$AA$5))/$E$16),MIN($E$27,(($I$5+'Cash Flows'!$BX$8+INDEX('Cash Flows'!$C$19:$BW$19,1,MATCH(EOMONTH(BL49,MOD(-MONTH(BL49),3)-3),'Cash Flows'!$C$4:$BW$4,0)))-SUM($BB$5,$AS$5,$AJ$5,$AA$5))/$E$16))),IF(BP49=0,"",BP49))</f>
        <v/>
      </c>
      <c r="BL49" s="112" t="str">
        <f t="shared" si="45"/>
        <v/>
      </c>
      <c r="BM49" s="139" t="str">
        <f>IFERROR(IF($Z49&gt;$E$12,"",IF($E$5="Uniform Inputs",INDEX($D$45:$E$53,MATCH($BK$3,$B$45:$B$53,0),MATCH(BM$4,$D$44:$E$44,0)),IF(BR49=0,"",BR49))),"")</f>
        <v/>
      </c>
      <c r="BN49" s="139" t="str">
        <f>IFERROR(IF($Z49&gt;$E$12,"",IF($E$5="Uniform Inputs",INDEX($D$45:$E$53,MATCH($BK$3,$B$45:$B$53,0),MATCH(BN$4,$D$44:$E$44,0)),IF(BS49=0,"",BS49))),"")</f>
        <v/>
      </c>
      <c r="BO49" s="10" t="str">
        <f t="shared" si="46"/>
        <v/>
      </c>
      <c r="BP49" s="11" t="s">
        <v>22</v>
      </c>
      <c r="BQ49" s="168" t="s">
        <v>22</v>
      </c>
      <c r="BR49" s="11" t="s">
        <v>22</v>
      </c>
      <c r="BS49" s="11" t="s">
        <v>22</v>
      </c>
      <c r="BT49" s="139" t="str">
        <f t="shared" si="30"/>
        <v/>
      </c>
      <c r="BU49" s="112" t="str">
        <f t="shared" si="47"/>
        <v/>
      </c>
      <c r="BV49" s="139" t="str">
        <f>IFERROR(IF($Z49&gt;$E$12,"",IF($E$5="Uniform Inputs",INDEX($D$45:$E$53,MATCH($BT$3,$B$45:$B$53,0),MATCH(BV$4,$D$44:$E$44,0)),IF(CA49=0,"",CA49))),"")</f>
        <v/>
      </c>
      <c r="BW49" s="139" t="str">
        <f>IFERROR(IF($Z49&gt;$E$12,"",IF($E$5="Uniform Inputs",INDEX($D$45:$E$53,MATCH($BT$3,$B$45:$B$53,0),MATCH(BW$4,$D$44:$E$44,0)),IF(CB49=0,"",CB49))),"")</f>
        <v/>
      </c>
      <c r="BX49" s="10" t="str">
        <f t="shared" si="48"/>
        <v/>
      </c>
      <c r="BY49" s="11" t="s">
        <v>22</v>
      </c>
      <c r="BZ49" s="168" t="s">
        <v>22</v>
      </c>
      <c r="CA49" s="11" t="s">
        <v>22</v>
      </c>
      <c r="CB49" s="11" t="s">
        <v>22</v>
      </c>
      <c r="CC49" s="139" t="str">
        <f t="shared" si="31"/>
        <v/>
      </c>
      <c r="CD49" s="112" t="str">
        <f t="shared" si="49"/>
        <v/>
      </c>
      <c r="CE49" s="139" t="str">
        <f>IFERROR(IF($Z49&gt;$E$12,"",IF($E$5="Uniform Inputs",INDEX($D$45:$E$53,MATCH($CC$3,$B$45:$B$53,0),MATCH(CE$4,$D$44:$E$44,0)),IF(CJ49=0,"",CJ49))),"")</f>
        <v/>
      </c>
      <c r="CF49" s="139" t="str">
        <f>IFERROR(IF($Z49&gt;$E$12,"",IF($E$5="Uniform Inputs",INDEX($D$45:$E$53,MATCH($CC$3,$B$45:$B$53,0),MATCH(CF$4,$D$44:$E$44,0)),IF(CK49=0,"",CK49))),"")</f>
        <v/>
      </c>
      <c r="CG49" s="10" t="str">
        <f t="shared" si="50"/>
        <v/>
      </c>
      <c r="CH49" s="11" t="s">
        <v>22</v>
      </c>
      <c r="CI49" s="168" t="s">
        <v>22</v>
      </c>
      <c r="CJ49" s="11" t="s">
        <v>22</v>
      </c>
      <c r="CK49" s="11" t="s">
        <v>22</v>
      </c>
      <c r="CL49" s="139" t="str">
        <f t="shared" si="32"/>
        <v/>
      </c>
      <c r="CM49" s="112" t="str">
        <f t="shared" si="51"/>
        <v/>
      </c>
      <c r="CN49" s="139" t="str">
        <f>IFERROR(IF($Z49&gt;$E$12,"",IF($E$5="Uniform Inputs",INDEX($D$45:$E$53,MATCH($CL$3,$B$45:$B$53,0),MATCH(CN$4,$D$44:$E$44,0)),IF(CS49=0,"",CS49))),"")</f>
        <v/>
      </c>
      <c r="CO49" s="139" t="str">
        <f>IFERROR(IF($Z49&gt;$E$12,"",IF($E$5="Uniform Inputs",INDEX($D$45:$E$53,MATCH($CL$3,$B$45:$B$53,0),MATCH(CO$4,$D$44:$E$44,0)),IF(CT49=0,"",CT49))),"")</f>
        <v/>
      </c>
      <c r="CP49" s="10" t="str">
        <f t="shared" si="52"/>
        <v/>
      </c>
      <c r="CQ49" s="11" t="s">
        <v>22</v>
      </c>
      <c r="CR49" s="168" t="s">
        <v>22</v>
      </c>
      <c r="CS49" s="11" t="s">
        <v>22</v>
      </c>
      <c r="CT49" s="11" t="s">
        <v>22</v>
      </c>
      <c r="CU49" s="139" t="str">
        <f t="shared" si="33"/>
        <v/>
      </c>
      <c r="CV49" s="112" t="str">
        <f t="shared" si="53"/>
        <v/>
      </c>
      <c r="CW49" s="139" t="str">
        <f>IFERROR(IF($Z49&gt;$E$12,"",IF($E$5="Uniform Inputs",INDEX($D$45:$E$53,MATCH($CU$3,$B$45:$B$53,0),MATCH(CW$4,$D$44:$E$44,0)),IF(DB49=0,"",DB49))),"")</f>
        <v/>
      </c>
      <c r="CX49" s="139" t="str">
        <f>IFERROR(IF($Z49&gt;$E$12,"",IF($E$5="Uniform Inputs",INDEX($D$45:$E$53,MATCH($CU$3,$B$45:$B$53,0),MATCH(CX$4,$D$44:$E$44,0)),IF(DC49=0,"",DC49))),"")</f>
        <v/>
      </c>
      <c r="CY49" s="10" t="str">
        <f t="shared" si="54"/>
        <v/>
      </c>
      <c r="CZ49" s="11" t="s">
        <v>22</v>
      </c>
      <c r="DA49" s="168" t="s">
        <v>22</v>
      </c>
      <c r="DB49" s="11" t="s">
        <v>22</v>
      </c>
      <c r="DC49" s="11" t="s">
        <v>22</v>
      </c>
    </row>
    <row r="50" spans="2:107" x14ac:dyDescent="0.25">
      <c r="B50" s="137" t="s">
        <v>9</v>
      </c>
      <c r="C50" s="135"/>
      <c r="D50" s="136">
        <v>110000000</v>
      </c>
      <c r="E50" s="70">
        <v>1000000000</v>
      </c>
      <c r="F50" s="8"/>
      <c r="G50" s="71">
        <v>16</v>
      </c>
      <c r="H50" s="162">
        <f ca="1">SUMIF('Cash Flows'!$C$2:$BW$2,Model!$G50,'Cash Flows'!$C$10:$BW$10)/'Cash Flows'!$BX$10</f>
        <v>0</v>
      </c>
      <c r="I50" s="162">
        <f ca="1">SUMIF('Cash Flows'!$C$2:$BW$2,Model!$G50,'Cash Flows'!$C$13:$BW$13)/-'Cash Flows'!$BX$10</f>
        <v>0</v>
      </c>
      <c r="J50" s="8"/>
      <c r="K50" s="6" t="str">
        <f t="shared" si="22"/>
        <v/>
      </c>
      <c r="L50" s="8"/>
      <c r="M50" s="8"/>
      <c r="N50" s="8"/>
      <c r="O50" s="6" t="str">
        <f t="shared" si="23"/>
        <v/>
      </c>
      <c r="P50" s="35" t="str">
        <f t="shared" si="34"/>
        <v/>
      </c>
      <c r="Q50" s="102" t="str">
        <f t="shared" si="35"/>
        <v/>
      </c>
      <c r="R50" s="102" t="str">
        <f t="shared" ca="1" si="36"/>
        <v/>
      </c>
      <c r="S50" s="112" t="str">
        <f t="shared" si="24"/>
        <v/>
      </c>
      <c r="T50" s="112" t="str">
        <f t="shared" ca="1" si="37"/>
        <v/>
      </c>
      <c r="U50" s="1" t="str">
        <f t="shared" si="25"/>
        <v/>
      </c>
      <c r="V50" s="1" t="str">
        <f t="shared" ca="1" si="38"/>
        <v/>
      </c>
      <c r="W50" s="34" t="str">
        <f t="shared" ca="1" si="26"/>
        <v/>
      </c>
      <c r="X50" s="8"/>
      <c r="Y50" s="2">
        <v>45</v>
      </c>
      <c r="Z50" s="6" t="str">
        <f t="shared" si="27"/>
        <v/>
      </c>
      <c r="AA50" s="139" t="str">
        <f>IF($E$5="Uniform Inputs",IF($Z50&gt;$E$12,"",MIN($E$21,($I$5+'Cash Flows'!$BX$8+INDEX('Cash Flows'!$C$19:$BW$19,1,MATCH(EOMONTH(AB50,MOD(-MONTH(AB50),3)-3),'Cash Flows'!$C$4:$BW$4,0)))/$E$12)),IF(AF50&gt;0,AF50,""))</f>
        <v/>
      </c>
      <c r="AB50" s="112" t="str">
        <f t="shared" si="55"/>
        <v/>
      </c>
      <c r="AC50" s="139" t="str">
        <f>IFERROR(IF($Z50&gt;$E$12,"",IF($E$5="Uniform Inputs",INDEX($D$45:$E$53,MATCH($AA$3,$B$45:$B$53,0),MATCH(AC$4,$D$44:$E$44,0)),IF(AH50=0,"",AH50))),"")</f>
        <v/>
      </c>
      <c r="AD50" s="139" t="str">
        <f>IFERROR(IF($Z50&gt;$E$12,"",IF($E$5="Uniform Inputs",INDEX($D$45:$E$53,MATCH($AA$3,$B$45:$B$53,0),MATCH(AD$4,$D$44:$E$44,0)),IF(AI50=0,"",AI50))),"")</f>
        <v/>
      </c>
      <c r="AE50" s="10" t="str">
        <f t="shared" si="29"/>
        <v/>
      </c>
      <c r="AF50" s="11" t="s">
        <v>22</v>
      </c>
      <c r="AG50" s="168" t="s">
        <v>22</v>
      </c>
      <c r="AH50" s="11" t="s">
        <v>22</v>
      </c>
      <c r="AI50" s="11" t="s">
        <v>22</v>
      </c>
      <c r="AJ50" s="139" t="str">
        <f>IF($E$5="Uniform Inputs",IF($Z50&gt;$E$13,"",IF($E$23="Pro-Rata",MIN(AL50*AE50,(($I$5+'Cash Flows'!$BX$8+INDEX('Cash Flows'!$C$19:$BW$19,1,MATCH(EOMONTH(AK50,MOD(-MONTH(AK50),3)-3),'Cash Flows'!$C$4:$BW$4,0)))-$AA$5)/$E$13),MIN($E$24,(($I$5+'Cash Flows'!$BX$8+INDEX('Cash Flows'!$C$19:$BW$19,1,MATCH(EOMONTH(AK50,MOD(-MONTH(AK50),3)-3),'Cash Flows'!$C$4:$BW$4,0)))-$AA$5)/$E$13))),IF(AO50=0,"",AO50))</f>
        <v/>
      </c>
      <c r="AK50" s="112" t="str">
        <f t="shared" si="39"/>
        <v/>
      </c>
      <c r="AL50" s="139" t="str">
        <f>IFERROR(IF($Z50&gt;$E$12,"",IF($E$5="Uniform Inputs",INDEX($D$45:$E$53,MATCH($AJ$3,$B$45:$B$53,0),MATCH(AL$4,$D$44:$E$44,0)),IF(AQ50=0,"",AQ50))),"")</f>
        <v/>
      </c>
      <c r="AM50" s="139" t="str">
        <f>IFERROR(IF($Z50&gt;$E$12,"",IF($E$5="Uniform Inputs",INDEX($D$45:$E$53,MATCH($AJ$3,$B$45:$B$53,0),MATCH(AM$4,$D$44:$E$44,0)),IF(AR50=0,"",AR50))),"")</f>
        <v/>
      </c>
      <c r="AN50" s="10" t="str">
        <f t="shared" si="40"/>
        <v/>
      </c>
      <c r="AO50" s="11" t="s">
        <v>22</v>
      </c>
      <c r="AP50" s="168" t="s">
        <v>22</v>
      </c>
      <c r="AQ50" s="11" t="s">
        <v>22</v>
      </c>
      <c r="AR50" s="11" t="s">
        <v>22</v>
      </c>
      <c r="AS50" s="139" t="str">
        <f>IF($E$5="Uniform Inputs",IF($Z50&gt;$E$14,"",IF($E$23="Pro-Rata",MIN(AU50*AN50,(($I$5+'Cash Flows'!$BX$8+INDEX('Cash Flows'!$C$19:$BW$19,1,MATCH(EOMONTH(AT50,MOD(-MONTH(AT50),3)-3),'Cash Flows'!$C$4:$BW$4,0)))-SUM($AJ$5,$AA$5))/$E$14),MIN($E$25,(($I$5+'Cash Flows'!$BX$8+INDEX('Cash Flows'!$C$19:$BW$19,1,MATCH(EOMONTH(AT50,MOD(-MONTH(AT50),3)-3),'Cash Flows'!$C$4:$BW$4,0)))-SUM($AJ$5,$AA$5))/$E$14))),IF(AX50=0,"",AX50))</f>
        <v/>
      </c>
      <c r="AT50" s="112" t="str">
        <f t="shared" si="41"/>
        <v/>
      </c>
      <c r="AU50" s="139" t="str">
        <f>IFERROR(IF($Z50&gt;$E$12,"",IF($E$5="Uniform Inputs",INDEX($D$45:$E$53,MATCH($AS$3,$B$45:$B$53,0),MATCH(AU$4,$D$44:$E$44,0)),IF(AZ50=0,"",AZ50))),"")</f>
        <v/>
      </c>
      <c r="AV50" s="139" t="str">
        <f>IFERROR(IF($Z50&gt;$E$12,"",IF($E$5="Uniform Inputs",INDEX($D$45:$E$53,MATCH($AS$3,$B$45:$B$53,0),MATCH(AV$4,$D$44:$E$44,0)),IF(BA50=0,"",BA50))),"")</f>
        <v/>
      </c>
      <c r="AW50" s="10" t="str">
        <f t="shared" si="42"/>
        <v/>
      </c>
      <c r="AX50" s="11" t="s">
        <v>22</v>
      </c>
      <c r="AY50" s="168" t="s">
        <v>22</v>
      </c>
      <c r="AZ50" s="11" t="s">
        <v>22</v>
      </c>
      <c r="BA50" s="11" t="s">
        <v>22</v>
      </c>
      <c r="BB50" s="139" t="str">
        <f>IF($E$5="Uniform Inputs",IF($Z50&gt;$E$15,"",IF($E$23="Pro-Rata",MIN(BD50*AW50,(($I$5+'Cash Flows'!$BX$8+INDEX('Cash Flows'!$C$19:$BW$19,1,MATCH(EOMONTH(BC50,MOD(-MONTH(BC50),3)-3),'Cash Flows'!$C$4:$BW$4,0)))-SUM($AS$5,$AJ$5,$AA$5))/$E$15),MIN($E$26,(($I$5+'Cash Flows'!$BX$8+INDEX('Cash Flows'!$C$19:$BW$19,1,MATCH(EOMONTH(BC50,MOD(-MONTH(BC50),3)-3),'Cash Flows'!$C$4:$BW$4,0)))-SUM($AS$5,$AJ$5,$AA$5))/$E$15))),IF(BG50=0,"",BG50))</f>
        <v/>
      </c>
      <c r="BC50" s="112" t="str">
        <f t="shared" si="43"/>
        <v/>
      </c>
      <c r="BD50" s="139" t="str">
        <f>IFERROR(IF($Z50&gt;$E$12,"",IF($E$5="Uniform Inputs",INDEX($D$45:$E$53,MATCH($BB$3,$B$45:$B$53,0),MATCH(BD$4,$D$44:$E$44,0)),IF(BI50=0,"",BI50))),"")</f>
        <v/>
      </c>
      <c r="BE50" s="139" t="str">
        <f>IFERROR(IF($Z50&gt;$E$12,"",IF($E$5="Uniform Inputs",INDEX($D$45:$E$53,MATCH($BB$3,$B$45:$B$53,0),MATCH(BE$4,$D$44:$E$44,0)),IF(BJ50=0,"",BJ50))),"")</f>
        <v/>
      </c>
      <c r="BF50" s="10" t="str">
        <f t="shared" si="44"/>
        <v/>
      </c>
      <c r="BG50" s="11" t="s">
        <v>22</v>
      </c>
      <c r="BH50" s="168" t="s">
        <v>22</v>
      </c>
      <c r="BI50" s="11" t="s">
        <v>22</v>
      </c>
      <c r="BJ50" s="11" t="s">
        <v>22</v>
      </c>
      <c r="BK50" s="139" t="str">
        <f>IF($E$5="Uniform Inputs",IF($Z50&gt;$E$16,"",IF($E$23="Pro-Rata",MIN(BM50*BF50,(($I$5+'Cash Flows'!$BX$8+INDEX('Cash Flows'!$C$19:$BW$19,1,MATCH(EOMONTH(BL50,MOD(-MONTH(BL50),3)-3),'Cash Flows'!$C$4:$BW$4,0)))-SUM($BB$5,$AS$5,$AJ$5,$AA$5))/$E$16),MIN($E$27,(($I$5+'Cash Flows'!$BX$8+INDEX('Cash Flows'!$C$19:$BW$19,1,MATCH(EOMONTH(BL50,MOD(-MONTH(BL50),3)-3),'Cash Flows'!$C$4:$BW$4,0)))-SUM($BB$5,$AS$5,$AJ$5,$AA$5))/$E$16))),IF(BP50=0,"",BP50))</f>
        <v/>
      </c>
      <c r="BL50" s="112" t="str">
        <f t="shared" si="45"/>
        <v/>
      </c>
      <c r="BM50" s="139" t="str">
        <f>IFERROR(IF($Z50&gt;$E$12,"",IF($E$5="Uniform Inputs",INDEX($D$45:$E$53,MATCH($BK$3,$B$45:$B$53,0),MATCH(BM$4,$D$44:$E$44,0)),IF(BR50=0,"",BR50))),"")</f>
        <v/>
      </c>
      <c r="BN50" s="139" t="str">
        <f>IFERROR(IF($Z50&gt;$E$12,"",IF($E$5="Uniform Inputs",INDEX($D$45:$E$53,MATCH($BK$3,$B$45:$B$53,0),MATCH(BN$4,$D$44:$E$44,0)),IF(BS50=0,"",BS50))),"")</f>
        <v/>
      </c>
      <c r="BO50" s="10" t="str">
        <f t="shared" si="46"/>
        <v/>
      </c>
      <c r="BP50" s="11" t="s">
        <v>22</v>
      </c>
      <c r="BQ50" s="168" t="s">
        <v>22</v>
      </c>
      <c r="BR50" s="11" t="s">
        <v>22</v>
      </c>
      <c r="BS50" s="11" t="s">
        <v>22</v>
      </c>
      <c r="BT50" s="139" t="str">
        <f t="shared" si="30"/>
        <v/>
      </c>
      <c r="BU50" s="112" t="str">
        <f t="shared" si="47"/>
        <v/>
      </c>
      <c r="BV50" s="139" t="str">
        <f>IFERROR(IF($Z50&gt;$E$12,"",IF($E$5="Uniform Inputs",INDEX($D$45:$E$53,MATCH($BT$3,$B$45:$B$53,0),MATCH(BV$4,$D$44:$E$44,0)),IF(CA50=0,"",CA50))),"")</f>
        <v/>
      </c>
      <c r="BW50" s="139" t="str">
        <f>IFERROR(IF($Z50&gt;$E$12,"",IF($E$5="Uniform Inputs",INDEX($D$45:$E$53,MATCH($BT$3,$B$45:$B$53,0),MATCH(BW$4,$D$44:$E$44,0)),IF(CB50=0,"",CB50))),"")</f>
        <v/>
      </c>
      <c r="BX50" s="10" t="str">
        <f t="shared" si="48"/>
        <v/>
      </c>
      <c r="BY50" s="11" t="s">
        <v>22</v>
      </c>
      <c r="BZ50" s="168" t="s">
        <v>22</v>
      </c>
      <c r="CA50" s="11" t="s">
        <v>22</v>
      </c>
      <c r="CB50" s="11" t="s">
        <v>22</v>
      </c>
      <c r="CC50" s="139" t="str">
        <f t="shared" si="31"/>
        <v/>
      </c>
      <c r="CD50" s="112" t="str">
        <f t="shared" si="49"/>
        <v/>
      </c>
      <c r="CE50" s="139" t="str">
        <f>IFERROR(IF($Z50&gt;$E$12,"",IF($E$5="Uniform Inputs",INDEX($D$45:$E$53,MATCH($CC$3,$B$45:$B$53,0),MATCH(CE$4,$D$44:$E$44,0)),IF(CJ50=0,"",CJ50))),"")</f>
        <v/>
      </c>
      <c r="CF50" s="139" t="str">
        <f>IFERROR(IF($Z50&gt;$E$12,"",IF($E$5="Uniform Inputs",INDEX($D$45:$E$53,MATCH($CC$3,$B$45:$B$53,0),MATCH(CF$4,$D$44:$E$44,0)),IF(CK50=0,"",CK50))),"")</f>
        <v/>
      </c>
      <c r="CG50" s="10" t="str">
        <f t="shared" si="50"/>
        <v/>
      </c>
      <c r="CH50" s="11" t="s">
        <v>22</v>
      </c>
      <c r="CI50" s="168" t="s">
        <v>22</v>
      </c>
      <c r="CJ50" s="11" t="s">
        <v>22</v>
      </c>
      <c r="CK50" s="11" t="s">
        <v>22</v>
      </c>
      <c r="CL50" s="139" t="str">
        <f t="shared" si="32"/>
        <v/>
      </c>
      <c r="CM50" s="112" t="str">
        <f t="shared" si="51"/>
        <v/>
      </c>
      <c r="CN50" s="139" t="str">
        <f>IFERROR(IF($Z50&gt;$E$12,"",IF($E$5="Uniform Inputs",INDEX($D$45:$E$53,MATCH($CL$3,$B$45:$B$53,0),MATCH(CN$4,$D$44:$E$44,0)),IF(CS50=0,"",CS50))),"")</f>
        <v/>
      </c>
      <c r="CO50" s="139" t="str">
        <f>IFERROR(IF($Z50&gt;$E$12,"",IF($E$5="Uniform Inputs",INDEX($D$45:$E$53,MATCH($CL$3,$B$45:$B$53,0),MATCH(CO$4,$D$44:$E$44,0)),IF(CT50=0,"",CT50))),"")</f>
        <v/>
      </c>
      <c r="CP50" s="10" t="str">
        <f t="shared" si="52"/>
        <v/>
      </c>
      <c r="CQ50" s="11" t="s">
        <v>22</v>
      </c>
      <c r="CR50" s="168" t="s">
        <v>22</v>
      </c>
      <c r="CS50" s="11" t="s">
        <v>22</v>
      </c>
      <c r="CT50" s="11" t="s">
        <v>22</v>
      </c>
      <c r="CU50" s="139" t="str">
        <f t="shared" si="33"/>
        <v/>
      </c>
      <c r="CV50" s="112" t="str">
        <f t="shared" si="53"/>
        <v/>
      </c>
      <c r="CW50" s="139" t="str">
        <f>IFERROR(IF($Z50&gt;$E$12,"",IF($E$5="Uniform Inputs",INDEX($D$45:$E$53,MATCH($CU$3,$B$45:$B$53,0),MATCH(CW$4,$D$44:$E$44,0)),IF(DB50=0,"",DB50))),"")</f>
        <v/>
      </c>
      <c r="CX50" s="139" t="str">
        <f>IFERROR(IF($Z50&gt;$E$12,"",IF($E$5="Uniform Inputs",INDEX($D$45:$E$53,MATCH($CU$3,$B$45:$B$53,0),MATCH(CX$4,$D$44:$E$44,0)),IF(DC50=0,"",DC50))),"")</f>
        <v/>
      </c>
      <c r="CY50" s="10" t="str">
        <f t="shared" si="54"/>
        <v/>
      </c>
      <c r="CZ50" s="11" t="s">
        <v>22</v>
      </c>
      <c r="DA50" s="168" t="s">
        <v>22</v>
      </c>
      <c r="DB50" s="11" t="s">
        <v>22</v>
      </c>
      <c r="DC50" s="11" t="s">
        <v>22</v>
      </c>
    </row>
    <row r="51" spans="2:107" x14ac:dyDescent="0.25">
      <c r="B51" s="137" t="s">
        <v>10</v>
      </c>
      <c r="C51" s="135"/>
      <c r="D51" s="136">
        <v>150000000</v>
      </c>
      <c r="E51" s="70">
        <v>1300000000</v>
      </c>
      <c r="G51" s="71">
        <v>17</v>
      </c>
      <c r="H51" s="162">
        <f ca="1">SUMIF('Cash Flows'!$C$2:$BW$2,Model!$G51,'Cash Flows'!$C$10:$BW$10)/'Cash Flows'!$BX$10</f>
        <v>0</v>
      </c>
      <c r="I51" s="162">
        <f ca="1">SUMIF('Cash Flows'!$C$2:$BW$2,Model!$G51,'Cash Flows'!$C$13:$BW$13)/-'Cash Flows'!$BX$10</f>
        <v>0</v>
      </c>
      <c r="K51" s="6" t="str">
        <f t="shared" si="22"/>
        <v/>
      </c>
      <c r="O51" s="6" t="str">
        <f t="shared" si="23"/>
        <v/>
      </c>
      <c r="P51" s="35" t="str">
        <f t="shared" si="34"/>
        <v/>
      </c>
      <c r="Q51" s="102" t="str">
        <f t="shared" si="35"/>
        <v/>
      </c>
      <c r="R51" s="102" t="str">
        <f t="shared" ca="1" si="36"/>
        <v/>
      </c>
      <c r="S51" s="112" t="str">
        <f t="shared" si="24"/>
        <v/>
      </c>
      <c r="T51" s="112" t="str">
        <f t="shared" ca="1" si="37"/>
        <v/>
      </c>
      <c r="U51" s="1" t="str">
        <f t="shared" si="25"/>
        <v/>
      </c>
      <c r="V51" s="1" t="str">
        <f t="shared" ca="1" si="38"/>
        <v/>
      </c>
      <c r="W51" s="34" t="str">
        <f t="shared" ca="1" si="26"/>
        <v/>
      </c>
      <c r="Y51" s="2">
        <v>46</v>
      </c>
      <c r="Z51" s="6" t="str">
        <f t="shared" si="27"/>
        <v/>
      </c>
      <c r="AA51" s="139" t="str">
        <f>IF($E$5="Uniform Inputs",IF($Z51&gt;$E$12,"",MIN($E$21,($I$5+'Cash Flows'!$BX$8+INDEX('Cash Flows'!$C$19:$BW$19,1,MATCH(EOMONTH(AB51,MOD(-MONTH(AB51),3)-3),'Cash Flows'!$C$4:$BW$4,0)))/$E$12)),IF(AF51&gt;0,AF51,""))</f>
        <v/>
      </c>
      <c r="AB51" s="112" t="str">
        <f t="shared" si="55"/>
        <v/>
      </c>
      <c r="AC51" s="139" t="str">
        <f>IFERROR(IF($Z51&gt;$E$12,"",IF($E$5="Uniform Inputs",INDEX($D$45:$E$53,MATCH($AA$3,$B$45:$B$53,0),MATCH(AC$4,$D$44:$E$44,0)),IF(AH51=0,"",AH51))),"")</f>
        <v/>
      </c>
      <c r="AD51" s="139" t="str">
        <f>IFERROR(IF($Z51&gt;$E$12,"",IF($E$5="Uniform Inputs",INDEX($D$45:$E$53,MATCH($AA$3,$B$45:$B$53,0),MATCH(AD$4,$D$44:$E$44,0)),IF(AI51=0,"",AI51))),"")</f>
        <v/>
      </c>
      <c r="AE51" s="10" t="str">
        <f t="shared" si="29"/>
        <v/>
      </c>
      <c r="AF51" s="11" t="s">
        <v>22</v>
      </c>
      <c r="AG51" s="168" t="s">
        <v>22</v>
      </c>
      <c r="AH51" s="11" t="s">
        <v>22</v>
      </c>
      <c r="AI51" s="11" t="s">
        <v>22</v>
      </c>
      <c r="AJ51" s="139" t="str">
        <f>IF($E$5="Uniform Inputs",IF($Z51&gt;$E$13,"",IF($E$23="Pro-Rata",MIN(AL51*AE51,(($I$5+'Cash Flows'!$BX$8+INDEX('Cash Flows'!$C$19:$BW$19,1,MATCH(EOMONTH(AK51,MOD(-MONTH(AK51),3)-3),'Cash Flows'!$C$4:$BW$4,0)))-$AA$5)/$E$13),MIN($E$24,(($I$5+'Cash Flows'!$BX$8+INDEX('Cash Flows'!$C$19:$BW$19,1,MATCH(EOMONTH(AK51,MOD(-MONTH(AK51),3)-3),'Cash Flows'!$C$4:$BW$4,0)))-$AA$5)/$E$13))),IF(AO51=0,"",AO51))</f>
        <v/>
      </c>
      <c r="AK51" s="112" t="str">
        <f t="shared" si="39"/>
        <v/>
      </c>
      <c r="AL51" s="139" t="str">
        <f>IFERROR(IF($Z51&gt;$E$12,"",IF($E$5="Uniform Inputs",INDEX($D$45:$E$53,MATCH($AJ$3,$B$45:$B$53,0),MATCH(AL$4,$D$44:$E$44,0)),IF(AQ51=0,"",AQ51))),"")</f>
        <v/>
      </c>
      <c r="AM51" s="139" t="str">
        <f>IFERROR(IF($Z51&gt;$E$12,"",IF($E$5="Uniform Inputs",INDEX($D$45:$E$53,MATCH($AJ$3,$B$45:$B$53,0),MATCH(AM$4,$D$44:$E$44,0)),IF(AR51=0,"",AR51))),"")</f>
        <v/>
      </c>
      <c r="AN51" s="10" t="str">
        <f t="shared" si="40"/>
        <v/>
      </c>
      <c r="AO51" s="11" t="s">
        <v>22</v>
      </c>
      <c r="AP51" s="168" t="s">
        <v>22</v>
      </c>
      <c r="AQ51" s="11" t="s">
        <v>22</v>
      </c>
      <c r="AR51" s="11" t="s">
        <v>22</v>
      </c>
      <c r="AS51" s="139" t="str">
        <f>IF($E$5="Uniform Inputs",IF($Z51&gt;$E$14,"",IF($E$23="Pro-Rata",MIN(AU51*AN51,(($I$5+'Cash Flows'!$BX$8+INDEX('Cash Flows'!$C$19:$BW$19,1,MATCH(EOMONTH(AT51,MOD(-MONTH(AT51),3)-3),'Cash Flows'!$C$4:$BW$4,0)))-SUM($AJ$5,$AA$5))/$E$14),MIN($E$25,(($I$5+'Cash Flows'!$BX$8+INDEX('Cash Flows'!$C$19:$BW$19,1,MATCH(EOMONTH(AT51,MOD(-MONTH(AT51),3)-3),'Cash Flows'!$C$4:$BW$4,0)))-SUM($AJ$5,$AA$5))/$E$14))),IF(AX51=0,"",AX51))</f>
        <v/>
      </c>
      <c r="AT51" s="112" t="str">
        <f t="shared" si="41"/>
        <v/>
      </c>
      <c r="AU51" s="139" t="str">
        <f>IFERROR(IF($Z51&gt;$E$12,"",IF($E$5="Uniform Inputs",INDEX($D$45:$E$53,MATCH($AS$3,$B$45:$B$53,0),MATCH(AU$4,$D$44:$E$44,0)),IF(AZ51=0,"",AZ51))),"")</f>
        <v/>
      </c>
      <c r="AV51" s="139" t="str">
        <f>IFERROR(IF($Z51&gt;$E$12,"",IF($E$5="Uniform Inputs",INDEX($D$45:$E$53,MATCH($AS$3,$B$45:$B$53,0),MATCH(AV$4,$D$44:$E$44,0)),IF(BA51=0,"",BA51))),"")</f>
        <v/>
      </c>
      <c r="AW51" s="10" t="str">
        <f t="shared" si="42"/>
        <v/>
      </c>
      <c r="AX51" s="11" t="s">
        <v>22</v>
      </c>
      <c r="AY51" s="168" t="s">
        <v>22</v>
      </c>
      <c r="AZ51" s="11" t="s">
        <v>22</v>
      </c>
      <c r="BA51" s="11" t="s">
        <v>22</v>
      </c>
      <c r="BB51" s="139" t="str">
        <f>IF($E$5="Uniform Inputs",IF($Z51&gt;$E$15,"",IF($E$23="Pro-Rata",MIN(BD51*AW51,(($I$5+'Cash Flows'!$BX$8+INDEX('Cash Flows'!$C$19:$BW$19,1,MATCH(EOMONTH(BC51,MOD(-MONTH(BC51),3)-3),'Cash Flows'!$C$4:$BW$4,0)))-SUM($AS$5,$AJ$5,$AA$5))/$E$15),MIN($E$26,(($I$5+'Cash Flows'!$BX$8+INDEX('Cash Flows'!$C$19:$BW$19,1,MATCH(EOMONTH(BC51,MOD(-MONTH(BC51),3)-3),'Cash Flows'!$C$4:$BW$4,0)))-SUM($AS$5,$AJ$5,$AA$5))/$E$15))),IF(BG51=0,"",BG51))</f>
        <v/>
      </c>
      <c r="BC51" s="112" t="str">
        <f t="shared" si="43"/>
        <v/>
      </c>
      <c r="BD51" s="139" t="str">
        <f>IFERROR(IF($Z51&gt;$E$12,"",IF($E$5="Uniform Inputs",INDEX($D$45:$E$53,MATCH($BB$3,$B$45:$B$53,0),MATCH(BD$4,$D$44:$E$44,0)),IF(BI51=0,"",BI51))),"")</f>
        <v/>
      </c>
      <c r="BE51" s="139" t="str">
        <f>IFERROR(IF($Z51&gt;$E$12,"",IF($E$5="Uniform Inputs",INDEX($D$45:$E$53,MATCH($BB$3,$B$45:$B$53,0),MATCH(BE$4,$D$44:$E$44,0)),IF(BJ51=0,"",BJ51))),"")</f>
        <v/>
      </c>
      <c r="BF51" s="10" t="str">
        <f t="shared" si="44"/>
        <v/>
      </c>
      <c r="BG51" s="11" t="s">
        <v>22</v>
      </c>
      <c r="BH51" s="168" t="s">
        <v>22</v>
      </c>
      <c r="BI51" s="11" t="s">
        <v>22</v>
      </c>
      <c r="BJ51" s="11" t="s">
        <v>22</v>
      </c>
      <c r="BK51" s="139" t="str">
        <f>IF($E$5="Uniform Inputs",IF($Z51&gt;$E$16,"",IF($E$23="Pro-Rata",MIN(BM51*BF51,(($I$5+'Cash Flows'!$BX$8+INDEX('Cash Flows'!$C$19:$BW$19,1,MATCH(EOMONTH(BL51,MOD(-MONTH(BL51),3)-3),'Cash Flows'!$C$4:$BW$4,0)))-SUM($BB$5,$AS$5,$AJ$5,$AA$5))/$E$16),MIN($E$27,(($I$5+'Cash Flows'!$BX$8+INDEX('Cash Flows'!$C$19:$BW$19,1,MATCH(EOMONTH(BL51,MOD(-MONTH(BL51),3)-3),'Cash Flows'!$C$4:$BW$4,0)))-SUM($BB$5,$AS$5,$AJ$5,$AA$5))/$E$16))),IF(BP51=0,"",BP51))</f>
        <v/>
      </c>
      <c r="BL51" s="112" t="str">
        <f t="shared" si="45"/>
        <v/>
      </c>
      <c r="BM51" s="139" t="str">
        <f>IFERROR(IF($Z51&gt;$E$12,"",IF($E$5="Uniform Inputs",INDEX($D$45:$E$53,MATCH($BK$3,$B$45:$B$53,0),MATCH(BM$4,$D$44:$E$44,0)),IF(BR51=0,"",BR51))),"")</f>
        <v/>
      </c>
      <c r="BN51" s="139" t="str">
        <f>IFERROR(IF($Z51&gt;$E$12,"",IF($E$5="Uniform Inputs",INDEX($D$45:$E$53,MATCH($BK$3,$B$45:$B$53,0),MATCH(BN$4,$D$44:$E$44,0)),IF(BS51=0,"",BS51))),"")</f>
        <v/>
      </c>
      <c r="BO51" s="10" t="str">
        <f t="shared" si="46"/>
        <v/>
      </c>
      <c r="BP51" s="11" t="s">
        <v>22</v>
      </c>
      <c r="BQ51" s="168" t="s">
        <v>22</v>
      </c>
      <c r="BR51" s="11" t="s">
        <v>22</v>
      </c>
      <c r="BS51" s="11" t="s">
        <v>22</v>
      </c>
      <c r="BT51" s="139" t="str">
        <f t="shared" si="30"/>
        <v/>
      </c>
      <c r="BU51" s="112" t="str">
        <f t="shared" si="47"/>
        <v/>
      </c>
      <c r="BV51" s="139" t="str">
        <f>IFERROR(IF($Z51&gt;$E$12,"",IF($E$5="Uniform Inputs",INDEX($D$45:$E$53,MATCH($BT$3,$B$45:$B$53,0),MATCH(BV$4,$D$44:$E$44,0)),IF(CA51=0,"",CA51))),"")</f>
        <v/>
      </c>
      <c r="BW51" s="139" t="str">
        <f>IFERROR(IF($Z51&gt;$E$12,"",IF($E$5="Uniform Inputs",INDEX($D$45:$E$53,MATCH($BT$3,$B$45:$B$53,0),MATCH(BW$4,$D$44:$E$44,0)),IF(CB51=0,"",CB51))),"")</f>
        <v/>
      </c>
      <c r="BX51" s="10" t="str">
        <f t="shared" si="48"/>
        <v/>
      </c>
      <c r="BY51" s="11" t="s">
        <v>22</v>
      </c>
      <c r="BZ51" s="168" t="s">
        <v>22</v>
      </c>
      <c r="CA51" s="11" t="s">
        <v>22</v>
      </c>
      <c r="CB51" s="11" t="s">
        <v>22</v>
      </c>
      <c r="CC51" s="139" t="str">
        <f t="shared" si="31"/>
        <v/>
      </c>
      <c r="CD51" s="112" t="str">
        <f t="shared" si="49"/>
        <v/>
      </c>
      <c r="CE51" s="139" t="str">
        <f>IFERROR(IF($Z51&gt;$E$12,"",IF($E$5="Uniform Inputs",INDEX($D$45:$E$53,MATCH($CC$3,$B$45:$B$53,0),MATCH(CE$4,$D$44:$E$44,0)),IF(CJ51=0,"",CJ51))),"")</f>
        <v/>
      </c>
      <c r="CF51" s="139" t="str">
        <f>IFERROR(IF($Z51&gt;$E$12,"",IF($E$5="Uniform Inputs",INDEX($D$45:$E$53,MATCH($CC$3,$B$45:$B$53,0),MATCH(CF$4,$D$44:$E$44,0)),IF(CK51=0,"",CK51))),"")</f>
        <v/>
      </c>
      <c r="CG51" s="10" t="str">
        <f t="shared" si="50"/>
        <v/>
      </c>
      <c r="CH51" s="11" t="s">
        <v>22</v>
      </c>
      <c r="CI51" s="168" t="s">
        <v>22</v>
      </c>
      <c r="CJ51" s="11" t="s">
        <v>22</v>
      </c>
      <c r="CK51" s="11" t="s">
        <v>22</v>
      </c>
      <c r="CL51" s="139" t="str">
        <f t="shared" si="32"/>
        <v/>
      </c>
      <c r="CM51" s="112" t="str">
        <f t="shared" si="51"/>
        <v/>
      </c>
      <c r="CN51" s="139" t="str">
        <f>IFERROR(IF($Z51&gt;$E$12,"",IF($E$5="Uniform Inputs",INDEX($D$45:$E$53,MATCH($CL$3,$B$45:$B$53,0),MATCH(CN$4,$D$44:$E$44,0)),IF(CS51=0,"",CS51))),"")</f>
        <v/>
      </c>
      <c r="CO51" s="139" t="str">
        <f>IFERROR(IF($Z51&gt;$E$12,"",IF($E$5="Uniform Inputs",INDEX($D$45:$E$53,MATCH($CL$3,$B$45:$B$53,0),MATCH(CO$4,$D$44:$E$44,0)),IF(CT51=0,"",CT51))),"")</f>
        <v/>
      </c>
      <c r="CP51" s="10" t="str">
        <f t="shared" si="52"/>
        <v/>
      </c>
      <c r="CQ51" s="11" t="s">
        <v>22</v>
      </c>
      <c r="CR51" s="168" t="s">
        <v>22</v>
      </c>
      <c r="CS51" s="11" t="s">
        <v>22</v>
      </c>
      <c r="CT51" s="11" t="s">
        <v>22</v>
      </c>
      <c r="CU51" s="139" t="str">
        <f t="shared" si="33"/>
        <v/>
      </c>
      <c r="CV51" s="112" t="str">
        <f t="shared" si="53"/>
        <v/>
      </c>
      <c r="CW51" s="139" t="str">
        <f>IFERROR(IF($Z51&gt;$E$12,"",IF($E$5="Uniform Inputs",INDEX($D$45:$E$53,MATCH($CU$3,$B$45:$B$53,0),MATCH(CW$4,$D$44:$E$44,0)),IF(DB51=0,"",DB51))),"")</f>
        <v/>
      </c>
      <c r="CX51" s="139" t="str">
        <f>IFERROR(IF($Z51&gt;$E$12,"",IF($E$5="Uniform Inputs",INDEX($D$45:$E$53,MATCH($CU$3,$B$45:$B$53,0),MATCH(CX$4,$D$44:$E$44,0)),IF(DC51=0,"",DC51))),"")</f>
        <v/>
      </c>
      <c r="CY51" s="10" t="str">
        <f t="shared" si="54"/>
        <v/>
      </c>
      <c r="CZ51" s="11" t="s">
        <v>22</v>
      </c>
      <c r="DA51" s="168" t="s">
        <v>22</v>
      </c>
      <c r="DB51" s="11" t="s">
        <v>22</v>
      </c>
      <c r="DC51" s="11" t="s">
        <v>22</v>
      </c>
    </row>
    <row r="52" spans="2:107" x14ac:dyDescent="0.25">
      <c r="B52" s="137" t="s">
        <v>106</v>
      </c>
      <c r="C52" s="135"/>
      <c r="D52" s="136">
        <v>200000000</v>
      </c>
      <c r="E52" s="70">
        <v>2300000000</v>
      </c>
      <c r="G52" s="166">
        <v>18</v>
      </c>
      <c r="H52" s="167">
        <f ca="1">SUMIF('Cash Flows'!$C$2:$BW$2,Model!$G52,'Cash Flows'!$C$10:$BW$10)/'Cash Flows'!$BX$10</f>
        <v>0</v>
      </c>
      <c r="I52" s="167">
        <f ca="1">SUMIF('Cash Flows'!$C$2:$BW$2,Model!$G52,'Cash Flows'!$C$13:$BW$13)/-'Cash Flows'!$BX$10</f>
        <v>0</v>
      </c>
      <c r="K52" s="6" t="str">
        <f t="shared" si="22"/>
        <v/>
      </c>
      <c r="O52" s="6" t="str">
        <f t="shared" si="23"/>
        <v/>
      </c>
      <c r="P52" s="35" t="str">
        <f t="shared" si="34"/>
        <v/>
      </c>
      <c r="Q52" s="102" t="str">
        <f t="shared" si="35"/>
        <v/>
      </c>
      <c r="R52" s="102" t="str">
        <f t="shared" ca="1" si="36"/>
        <v/>
      </c>
      <c r="S52" s="112" t="str">
        <f t="shared" si="24"/>
        <v/>
      </c>
      <c r="T52" s="112" t="str">
        <f t="shared" ca="1" si="37"/>
        <v/>
      </c>
      <c r="U52" s="1" t="str">
        <f t="shared" si="25"/>
        <v/>
      </c>
      <c r="V52" s="1" t="str">
        <f t="shared" ca="1" si="38"/>
        <v/>
      </c>
      <c r="W52" s="34" t="str">
        <f t="shared" ca="1" si="26"/>
        <v/>
      </c>
      <c r="Y52" s="2">
        <v>47</v>
      </c>
      <c r="Z52" s="6" t="str">
        <f t="shared" si="27"/>
        <v/>
      </c>
      <c r="AA52" s="139" t="str">
        <f>IF($E$5="Uniform Inputs",IF($Z52&gt;$E$12,"",MIN($E$21,($I$5+'Cash Flows'!$BX$8+INDEX('Cash Flows'!$C$19:$BW$19,1,MATCH(EOMONTH(AB52,MOD(-MONTH(AB52),3)-3),'Cash Flows'!$C$4:$BW$4,0)))/$E$12)),IF(AF52&gt;0,AF52,""))</f>
        <v/>
      </c>
      <c r="AB52" s="112" t="str">
        <f t="shared" si="55"/>
        <v/>
      </c>
      <c r="AC52" s="139" t="str">
        <f>IFERROR(IF($Z52&gt;$E$12,"",IF($E$5="Uniform Inputs",INDEX($D$45:$E$53,MATCH($AA$3,$B$45:$B$53,0),MATCH(AC$4,$D$44:$E$44,0)),IF(AH52=0,"",AH52))),"")</f>
        <v/>
      </c>
      <c r="AD52" s="139" t="str">
        <f>IFERROR(IF($Z52&gt;$E$12,"",IF($E$5="Uniform Inputs",INDEX($D$45:$E$53,MATCH($AA$3,$B$45:$B$53,0),MATCH(AD$4,$D$44:$E$44,0)),IF(AI52=0,"",AI52))),"")</f>
        <v/>
      </c>
      <c r="AE52" s="10" t="str">
        <f t="shared" si="29"/>
        <v/>
      </c>
      <c r="AF52" s="11" t="s">
        <v>22</v>
      </c>
      <c r="AG52" s="168" t="s">
        <v>22</v>
      </c>
      <c r="AH52" s="11" t="s">
        <v>22</v>
      </c>
      <c r="AI52" s="11" t="s">
        <v>22</v>
      </c>
      <c r="AJ52" s="139" t="str">
        <f>IF($E$5="Uniform Inputs",IF($Z52&gt;$E$13,"",IF($E$23="Pro-Rata",MIN(AL52*AE52,(($I$5+'Cash Flows'!$BX$8+INDEX('Cash Flows'!$C$19:$BW$19,1,MATCH(EOMONTH(AK52,MOD(-MONTH(AK52),3)-3),'Cash Flows'!$C$4:$BW$4,0)))-$AA$5)/$E$13),MIN($E$24,(($I$5+'Cash Flows'!$BX$8+INDEX('Cash Flows'!$C$19:$BW$19,1,MATCH(EOMONTH(AK52,MOD(-MONTH(AK52),3)-3),'Cash Flows'!$C$4:$BW$4,0)))-$AA$5)/$E$13))),IF(AO52=0,"",AO52))</f>
        <v/>
      </c>
      <c r="AK52" s="112" t="str">
        <f t="shared" si="39"/>
        <v/>
      </c>
      <c r="AL52" s="139" t="str">
        <f>IFERROR(IF($Z52&gt;$E$12,"",IF($E$5="Uniform Inputs",INDEX($D$45:$E$53,MATCH($AJ$3,$B$45:$B$53,0),MATCH(AL$4,$D$44:$E$44,0)),IF(AQ52=0,"",AQ52))),"")</f>
        <v/>
      </c>
      <c r="AM52" s="139" t="str">
        <f>IFERROR(IF($Z52&gt;$E$12,"",IF($E$5="Uniform Inputs",INDEX($D$45:$E$53,MATCH($AJ$3,$B$45:$B$53,0),MATCH(AM$4,$D$44:$E$44,0)),IF(AR52=0,"",AR52))),"")</f>
        <v/>
      </c>
      <c r="AN52" s="10" t="str">
        <f t="shared" si="40"/>
        <v/>
      </c>
      <c r="AO52" s="11" t="s">
        <v>22</v>
      </c>
      <c r="AP52" s="168" t="s">
        <v>22</v>
      </c>
      <c r="AQ52" s="11" t="s">
        <v>22</v>
      </c>
      <c r="AR52" s="11" t="s">
        <v>22</v>
      </c>
      <c r="AS52" s="139" t="str">
        <f>IF($E$5="Uniform Inputs",IF($Z52&gt;$E$14,"",IF($E$23="Pro-Rata",MIN(AU52*AN52,(($I$5+'Cash Flows'!$BX$8+INDEX('Cash Flows'!$C$19:$BW$19,1,MATCH(EOMONTH(AT52,MOD(-MONTH(AT52),3)-3),'Cash Flows'!$C$4:$BW$4,0)))-SUM($AJ$5,$AA$5))/$E$14),MIN($E$25,(($I$5+'Cash Flows'!$BX$8+INDEX('Cash Flows'!$C$19:$BW$19,1,MATCH(EOMONTH(AT52,MOD(-MONTH(AT52),3)-3),'Cash Flows'!$C$4:$BW$4,0)))-SUM($AJ$5,$AA$5))/$E$14))),IF(AX52=0,"",AX52))</f>
        <v/>
      </c>
      <c r="AT52" s="112" t="str">
        <f t="shared" si="41"/>
        <v/>
      </c>
      <c r="AU52" s="139" t="str">
        <f>IFERROR(IF($Z52&gt;$E$12,"",IF($E$5="Uniform Inputs",INDEX($D$45:$E$53,MATCH($AS$3,$B$45:$B$53,0),MATCH(AU$4,$D$44:$E$44,0)),IF(AZ52=0,"",AZ52))),"")</f>
        <v/>
      </c>
      <c r="AV52" s="139" t="str">
        <f>IFERROR(IF($Z52&gt;$E$12,"",IF($E$5="Uniform Inputs",INDEX($D$45:$E$53,MATCH($AS$3,$B$45:$B$53,0),MATCH(AV$4,$D$44:$E$44,0)),IF(BA52=0,"",BA52))),"")</f>
        <v/>
      </c>
      <c r="AW52" s="10" t="str">
        <f t="shared" si="42"/>
        <v/>
      </c>
      <c r="AX52" s="11" t="s">
        <v>22</v>
      </c>
      <c r="AY52" s="168" t="s">
        <v>22</v>
      </c>
      <c r="AZ52" s="11" t="s">
        <v>22</v>
      </c>
      <c r="BA52" s="11" t="s">
        <v>22</v>
      </c>
      <c r="BB52" s="139" t="str">
        <f>IF($E$5="Uniform Inputs",IF($Z52&gt;$E$15,"",IF($E$23="Pro-Rata",MIN(BD52*AW52,(($I$5+'Cash Flows'!$BX$8+INDEX('Cash Flows'!$C$19:$BW$19,1,MATCH(EOMONTH(BC52,MOD(-MONTH(BC52),3)-3),'Cash Flows'!$C$4:$BW$4,0)))-SUM($AS$5,$AJ$5,$AA$5))/$E$15),MIN($E$26,(($I$5+'Cash Flows'!$BX$8+INDEX('Cash Flows'!$C$19:$BW$19,1,MATCH(EOMONTH(BC52,MOD(-MONTH(BC52),3)-3),'Cash Flows'!$C$4:$BW$4,0)))-SUM($AS$5,$AJ$5,$AA$5))/$E$15))),IF(BG52=0,"",BG52))</f>
        <v/>
      </c>
      <c r="BC52" s="112" t="str">
        <f t="shared" si="43"/>
        <v/>
      </c>
      <c r="BD52" s="139" t="str">
        <f>IFERROR(IF($Z52&gt;$E$12,"",IF($E$5="Uniform Inputs",INDEX($D$45:$E$53,MATCH($BB$3,$B$45:$B$53,0),MATCH(BD$4,$D$44:$E$44,0)),IF(BI52=0,"",BI52))),"")</f>
        <v/>
      </c>
      <c r="BE52" s="139" t="str">
        <f>IFERROR(IF($Z52&gt;$E$12,"",IF($E$5="Uniform Inputs",INDEX($D$45:$E$53,MATCH($BB$3,$B$45:$B$53,0),MATCH(BE$4,$D$44:$E$44,0)),IF(BJ52=0,"",BJ52))),"")</f>
        <v/>
      </c>
      <c r="BF52" s="10" t="str">
        <f t="shared" si="44"/>
        <v/>
      </c>
      <c r="BG52" s="11" t="s">
        <v>22</v>
      </c>
      <c r="BH52" s="168" t="s">
        <v>22</v>
      </c>
      <c r="BI52" s="11" t="s">
        <v>22</v>
      </c>
      <c r="BJ52" s="11" t="s">
        <v>22</v>
      </c>
      <c r="BK52" s="139" t="str">
        <f>IF($E$5="Uniform Inputs",IF($Z52&gt;$E$16,"",IF($E$23="Pro-Rata",MIN(BM52*BF52,(($I$5+'Cash Flows'!$BX$8+INDEX('Cash Flows'!$C$19:$BW$19,1,MATCH(EOMONTH(BL52,MOD(-MONTH(BL52),3)-3),'Cash Flows'!$C$4:$BW$4,0)))-SUM($BB$5,$AS$5,$AJ$5,$AA$5))/$E$16),MIN($E$27,(($I$5+'Cash Flows'!$BX$8+INDEX('Cash Flows'!$C$19:$BW$19,1,MATCH(EOMONTH(BL52,MOD(-MONTH(BL52),3)-3),'Cash Flows'!$C$4:$BW$4,0)))-SUM($BB$5,$AS$5,$AJ$5,$AA$5))/$E$16))),IF(BP52=0,"",BP52))</f>
        <v/>
      </c>
      <c r="BL52" s="112" t="str">
        <f t="shared" si="45"/>
        <v/>
      </c>
      <c r="BM52" s="139" t="str">
        <f>IFERROR(IF($Z52&gt;$E$12,"",IF($E$5="Uniform Inputs",INDEX($D$45:$E$53,MATCH($BK$3,$B$45:$B$53,0),MATCH(BM$4,$D$44:$E$44,0)),IF(BR52=0,"",BR52))),"")</f>
        <v/>
      </c>
      <c r="BN52" s="139" t="str">
        <f>IFERROR(IF($Z52&gt;$E$12,"",IF($E$5="Uniform Inputs",INDEX($D$45:$E$53,MATCH($BK$3,$B$45:$B$53,0),MATCH(BN$4,$D$44:$E$44,0)),IF(BS52=0,"",BS52))),"")</f>
        <v/>
      </c>
      <c r="BO52" s="10" t="str">
        <f t="shared" si="46"/>
        <v/>
      </c>
      <c r="BP52" s="11" t="s">
        <v>22</v>
      </c>
      <c r="BQ52" s="168" t="s">
        <v>22</v>
      </c>
      <c r="BR52" s="11" t="s">
        <v>22</v>
      </c>
      <c r="BS52" s="11" t="s">
        <v>22</v>
      </c>
      <c r="BT52" s="139" t="str">
        <f t="shared" si="30"/>
        <v/>
      </c>
      <c r="BU52" s="112" t="str">
        <f t="shared" si="47"/>
        <v/>
      </c>
      <c r="BV52" s="139" t="str">
        <f>IFERROR(IF($Z52&gt;$E$12,"",IF($E$5="Uniform Inputs",INDEX($D$45:$E$53,MATCH($BT$3,$B$45:$B$53,0),MATCH(BV$4,$D$44:$E$44,0)),IF(CA52=0,"",CA52))),"")</f>
        <v/>
      </c>
      <c r="BW52" s="139" t="str">
        <f>IFERROR(IF($Z52&gt;$E$12,"",IF($E$5="Uniform Inputs",INDEX($D$45:$E$53,MATCH($BT$3,$B$45:$B$53,0),MATCH(BW$4,$D$44:$E$44,0)),IF(CB52=0,"",CB52))),"")</f>
        <v/>
      </c>
      <c r="BX52" s="10" t="str">
        <f t="shared" si="48"/>
        <v/>
      </c>
      <c r="BY52" s="11" t="s">
        <v>22</v>
      </c>
      <c r="BZ52" s="168" t="s">
        <v>22</v>
      </c>
      <c r="CA52" s="11" t="s">
        <v>22</v>
      </c>
      <c r="CB52" s="11" t="s">
        <v>22</v>
      </c>
      <c r="CC52" s="139" t="str">
        <f t="shared" si="31"/>
        <v/>
      </c>
      <c r="CD52" s="112" t="str">
        <f t="shared" si="49"/>
        <v/>
      </c>
      <c r="CE52" s="139" t="str">
        <f>IFERROR(IF($Z52&gt;$E$12,"",IF($E$5="Uniform Inputs",INDEX($D$45:$E$53,MATCH($CC$3,$B$45:$B$53,0),MATCH(CE$4,$D$44:$E$44,0)),IF(CJ52=0,"",CJ52))),"")</f>
        <v/>
      </c>
      <c r="CF52" s="139" t="str">
        <f>IFERROR(IF($Z52&gt;$E$12,"",IF($E$5="Uniform Inputs",INDEX($D$45:$E$53,MATCH($CC$3,$B$45:$B$53,0),MATCH(CF$4,$D$44:$E$44,0)),IF(CK52=0,"",CK52))),"")</f>
        <v/>
      </c>
      <c r="CG52" s="10" t="str">
        <f t="shared" si="50"/>
        <v/>
      </c>
      <c r="CH52" s="11" t="s">
        <v>22</v>
      </c>
      <c r="CI52" s="168" t="s">
        <v>22</v>
      </c>
      <c r="CJ52" s="11" t="s">
        <v>22</v>
      </c>
      <c r="CK52" s="11" t="s">
        <v>22</v>
      </c>
      <c r="CL52" s="139" t="str">
        <f t="shared" si="32"/>
        <v/>
      </c>
      <c r="CM52" s="112" t="str">
        <f t="shared" si="51"/>
        <v/>
      </c>
      <c r="CN52" s="139" t="str">
        <f>IFERROR(IF($Z52&gt;$E$12,"",IF($E$5="Uniform Inputs",INDEX($D$45:$E$53,MATCH($CL$3,$B$45:$B$53,0),MATCH(CN$4,$D$44:$E$44,0)),IF(CS52=0,"",CS52))),"")</f>
        <v/>
      </c>
      <c r="CO52" s="139" t="str">
        <f>IFERROR(IF($Z52&gt;$E$12,"",IF($E$5="Uniform Inputs",INDEX($D$45:$E$53,MATCH($CL$3,$B$45:$B$53,0),MATCH(CO$4,$D$44:$E$44,0)),IF(CT52=0,"",CT52))),"")</f>
        <v/>
      </c>
      <c r="CP52" s="10" t="str">
        <f t="shared" si="52"/>
        <v/>
      </c>
      <c r="CQ52" s="11" t="s">
        <v>22</v>
      </c>
      <c r="CR52" s="168" t="s">
        <v>22</v>
      </c>
      <c r="CS52" s="11" t="s">
        <v>22</v>
      </c>
      <c r="CT52" s="11" t="s">
        <v>22</v>
      </c>
      <c r="CU52" s="139" t="str">
        <f t="shared" si="33"/>
        <v/>
      </c>
      <c r="CV52" s="112" t="str">
        <f t="shared" si="53"/>
        <v/>
      </c>
      <c r="CW52" s="139" t="str">
        <f>IFERROR(IF($Z52&gt;$E$12,"",IF($E$5="Uniform Inputs",INDEX($D$45:$E$53,MATCH($CU$3,$B$45:$B$53,0),MATCH(CW$4,$D$44:$E$44,0)),IF(DB52=0,"",DB52))),"")</f>
        <v/>
      </c>
      <c r="CX52" s="139" t="str">
        <f>IFERROR(IF($Z52&gt;$E$12,"",IF($E$5="Uniform Inputs",INDEX($D$45:$E$53,MATCH($CU$3,$B$45:$B$53,0),MATCH(CX$4,$D$44:$E$44,0)),IF(DC52=0,"",DC52))),"")</f>
        <v/>
      </c>
      <c r="CY52" s="10" t="str">
        <f t="shared" si="54"/>
        <v/>
      </c>
      <c r="CZ52" s="11" t="s">
        <v>22</v>
      </c>
      <c r="DA52" s="168" t="s">
        <v>22</v>
      </c>
      <c r="DB52" s="11" t="s">
        <v>22</v>
      </c>
      <c r="DC52" s="11" t="s">
        <v>22</v>
      </c>
    </row>
    <row r="53" spans="2:107" x14ac:dyDescent="0.25">
      <c r="B53" s="137" t="s">
        <v>11</v>
      </c>
      <c r="C53" s="135"/>
      <c r="D53" s="136">
        <v>275000000</v>
      </c>
      <c r="E53" s="8">
        <v>3000000000</v>
      </c>
      <c r="G53" s="36" t="s">
        <v>33</v>
      </c>
      <c r="H53" s="165">
        <f ca="1">SUM(H35:H52)</f>
        <v>1</v>
      </c>
      <c r="I53" s="165">
        <f ca="1">SUM(I35:I52)</f>
        <v>4.4095055334548068</v>
      </c>
      <c r="K53" s="6" t="str">
        <f t="shared" si="22"/>
        <v/>
      </c>
      <c r="O53" s="6" t="str">
        <f t="shared" si="23"/>
        <v/>
      </c>
      <c r="P53" s="35" t="str">
        <f t="shared" si="34"/>
        <v/>
      </c>
      <c r="Q53" s="102" t="str">
        <f t="shared" si="35"/>
        <v/>
      </c>
      <c r="R53" s="102" t="str">
        <f t="shared" ca="1" si="36"/>
        <v/>
      </c>
      <c r="S53" s="112" t="str">
        <f t="shared" si="24"/>
        <v/>
      </c>
      <c r="T53" s="112" t="str">
        <f t="shared" ca="1" si="37"/>
        <v/>
      </c>
      <c r="U53" s="1" t="str">
        <f t="shared" si="25"/>
        <v/>
      </c>
      <c r="V53" s="1" t="str">
        <f t="shared" ca="1" si="38"/>
        <v/>
      </c>
      <c r="W53" s="34" t="str">
        <f t="shared" ca="1" si="26"/>
        <v/>
      </c>
      <c r="Y53" s="2">
        <v>48</v>
      </c>
      <c r="Z53" s="6" t="str">
        <f t="shared" si="27"/>
        <v/>
      </c>
      <c r="AA53" s="139" t="str">
        <f>IF($E$5="Uniform Inputs",IF($Z53&gt;$E$12,"",MIN($E$21,($I$5+'Cash Flows'!$BX$8+INDEX('Cash Flows'!$C$19:$BW$19,1,MATCH(EOMONTH(AB53,MOD(-MONTH(AB53),3)-3),'Cash Flows'!$C$4:$BW$4,0)))/$E$12)),IF(AF53&gt;0,AF53,""))</f>
        <v/>
      </c>
      <c r="AB53" s="112" t="str">
        <f t="shared" si="55"/>
        <v/>
      </c>
      <c r="AC53" s="139" t="str">
        <f>IFERROR(IF($Z53&gt;$E$12,"",IF($E$5="Uniform Inputs",INDEX($D$45:$E$53,MATCH($AA$3,$B$45:$B$53,0),MATCH(AC$4,$D$44:$E$44,0)),IF(AH53=0,"",AH53))),"")</f>
        <v/>
      </c>
      <c r="AD53" s="139" t="str">
        <f>IFERROR(IF($Z53&gt;$E$12,"",IF($E$5="Uniform Inputs",INDEX($D$45:$E$53,MATCH($AA$3,$B$45:$B$53,0),MATCH(AD$4,$D$44:$E$44,0)),IF(AI53=0,"",AI53))),"")</f>
        <v/>
      </c>
      <c r="AE53" s="10" t="str">
        <f t="shared" si="29"/>
        <v/>
      </c>
      <c r="AF53" s="11" t="s">
        <v>22</v>
      </c>
      <c r="AG53" s="168" t="s">
        <v>22</v>
      </c>
      <c r="AH53" s="11" t="s">
        <v>22</v>
      </c>
      <c r="AI53" s="11" t="s">
        <v>22</v>
      </c>
      <c r="AJ53" s="139" t="str">
        <f>IF($E$5="Uniform Inputs",IF($Z53&gt;$E$13,"",IF($E$23="Pro-Rata",MIN(AL53*AE53,(($I$5+'Cash Flows'!$BX$8+INDEX('Cash Flows'!$C$19:$BW$19,1,MATCH(EOMONTH(AK53,MOD(-MONTH(AK53),3)-3),'Cash Flows'!$C$4:$BW$4,0)))-$AA$5)/$E$13),MIN($E$24,(($I$5+'Cash Flows'!$BX$8+INDEX('Cash Flows'!$C$19:$BW$19,1,MATCH(EOMONTH(AK53,MOD(-MONTH(AK53),3)-3),'Cash Flows'!$C$4:$BW$4,0)))-$AA$5)/$E$13))),IF(AO53=0,"",AO53))</f>
        <v/>
      </c>
      <c r="AK53" s="112" t="str">
        <f t="shared" si="39"/>
        <v/>
      </c>
      <c r="AL53" s="139" t="str">
        <f>IFERROR(IF($Z53&gt;$E$12,"",IF($E$5="Uniform Inputs",INDEX($D$45:$E$53,MATCH($AJ$3,$B$45:$B$53,0),MATCH(AL$4,$D$44:$E$44,0)),IF(AQ53=0,"",AQ53))),"")</f>
        <v/>
      </c>
      <c r="AM53" s="139" t="str">
        <f>IFERROR(IF($Z53&gt;$E$12,"",IF($E$5="Uniform Inputs",INDEX($D$45:$E$53,MATCH($AJ$3,$B$45:$B$53,0),MATCH(AM$4,$D$44:$E$44,0)),IF(AR53=0,"",AR53))),"")</f>
        <v/>
      </c>
      <c r="AN53" s="10" t="str">
        <f t="shared" si="40"/>
        <v/>
      </c>
      <c r="AO53" s="11" t="s">
        <v>22</v>
      </c>
      <c r="AP53" s="168" t="s">
        <v>22</v>
      </c>
      <c r="AQ53" s="11" t="s">
        <v>22</v>
      </c>
      <c r="AR53" s="11" t="s">
        <v>22</v>
      </c>
      <c r="AS53" s="139" t="str">
        <f>IF($E$5="Uniform Inputs",IF($Z53&gt;$E$14,"",IF($E$23="Pro-Rata",MIN(AU53*AN53,(($I$5+'Cash Flows'!$BX$8+INDEX('Cash Flows'!$C$19:$BW$19,1,MATCH(EOMONTH(AT53,MOD(-MONTH(AT53),3)-3),'Cash Flows'!$C$4:$BW$4,0)))-SUM($AJ$5,$AA$5))/$E$14),MIN($E$25,(($I$5+'Cash Flows'!$BX$8+INDEX('Cash Flows'!$C$19:$BW$19,1,MATCH(EOMONTH(AT53,MOD(-MONTH(AT53),3)-3),'Cash Flows'!$C$4:$BW$4,0)))-SUM($AJ$5,$AA$5))/$E$14))),IF(AX53=0,"",AX53))</f>
        <v/>
      </c>
      <c r="AT53" s="112" t="str">
        <f t="shared" si="41"/>
        <v/>
      </c>
      <c r="AU53" s="139" t="str">
        <f>IFERROR(IF($Z53&gt;$E$12,"",IF($E$5="Uniform Inputs",INDEX($D$45:$E$53,MATCH($AS$3,$B$45:$B$53,0),MATCH(AU$4,$D$44:$E$44,0)),IF(AZ53=0,"",AZ53))),"")</f>
        <v/>
      </c>
      <c r="AV53" s="139" t="str">
        <f>IFERROR(IF($Z53&gt;$E$12,"",IF($E$5="Uniform Inputs",INDEX($D$45:$E$53,MATCH($AS$3,$B$45:$B$53,0),MATCH(AV$4,$D$44:$E$44,0)),IF(BA53=0,"",BA53))),"")</f>
        <v/>
      </c>
      <c r="AW53" s="10" t="str">
        <f t="shared" si="42"/>
        <v/>
      </c>
      <c r="AX53" s="11" t="s">
        <v>22</v>
      </c>
      <c r="AY53" s="168" t="s">
        <v>22</v>
      </c>
      <c r="AZ53" s="11" t="s">
        <v>22</v>
      </c>
      <c r="BA53" s="11" t="s">
        <v>22</v>
      </c>
      <c r="BB53" s="139" t="str">
        <f>IF($E$5="Uniform Inputs",IF($Z53&gt;$E$15,"",IF($E$23="Pro-Rata",MIN(BD53*AW53,(($I$5+'Cash Flows'!$BX$8+INDEX('Cash Flows'!$C$19:$BW$19,1,MATCH(EOMONTH(BC53,MOD(-MONTH(BC53),3)-3),'Cash Flows'!$C$4:$BW$4,0)))-SUM($AS$5,$AJ$5,$AA$5))/$E$15),MIN($E$26,(($I$5+'Cash Flows'!$BX$8+INDEX('Cash Flows'!$C$19:$BW$19,1,MATCH(EOMONTH(BC53,MOD(-MONTH(BC53),3)-3),'Cash Flows'!$C$4:$BW$4,0)))-SUM($AS$5,$AJ$5,$AA$5))/$E$15))),IF(BG53=0,"",BG53))</f>
        <v/>
      </c>
      <c r="BC53" s="112" t="str">
        <f t="shared" si="43"/>
        <v/>
      </c>
      <c r="BD53" s="139" t="str">
        <f>IFERROR(IF($Z53&gt;$E$12,"",IF($E$5="Uniform Inputs",INDEX($D$45:$E$53,MATCH($BB$3,$B$45:$B$53,0),MATCH(BD$4,$D$44:$E$44,0)),IF(BI53=0,"",BI53))),"")</f>
        <v/>
      </c>
      <c r="BE53" s="139" t="str">
        <f>IFERROR(IF($Z53&gt;$E$12,"",IF($E$5="Uniform Inputs",INDEX($D$45:$E$53,MATCH($BB$3,$B$45:$B$53,0),MATCH(BE$4,$D$44:$E$44,0)),IF(BJ53=0,"",BJ53))),"")</f>
        <v/>
      </c>
      <c r="BF53" s="10" t="str">
        <f t="shared" si="44"/>
        <v/>
      </c>
      <c r="BG53" s="11" t="s">
        <v>22</v>
      </c>
      <c r="BH53" s="168" t="s">
        <v>22</v>
      </c>
      <c r="BI53" s="11" t="s">
        <v>22</v>
      </c>
      <c r="BJ53" s="11" t="s">
        <v>22</v>
      </c>
      <c r="BK53" s="139" t="str">
        <f>IF($E$5="Uniform Inputs",IF($Z53&gt;$E$16,"",IF($E$23="Pro-Rata",MIN(BM53*BF53,(($I$5+'Cash Flows'!$BX$8+INDEX('Cash Flows'!$C$19:$BW$19,1,MATCH(EOMONTH(BL53,MOD(-MONTH(BL53),3)-3),'Cash Flows'!$C$4:$BW$4,0)))-SUM($BB$5,$AS$5,$AJ$5,$AA$5))/$E$16),MIN($E$27,(($I$5+'Cash Flows'!$BX$8+INDEX('Cash Flows'!$C$19:$BW$19,1,MATCH(EOMONTH(BL53,MOD(-MONTH(BL53),3)-3),'Cash Flows'!$C$4:$BW$4,0)))-SUM($BB$5,$AS$5,$AJ$5,$AA$5))/$E$16))),IF(BP53=0,"",BP53))</f>
        <v/>
      </c>
      <c r="BL53" s="112" t="str">
        <f t="shared" si="45"/>
        <v/>
      </c>
      <c r="BM53" s="139" t="str">
        <f>IFERROR(IF($Z53&gt;$E$12,"",IF($E$5="Uniform Inputs",INDEX($D$45:$E$53,MATCH($BK$3,$B$45:$B$53,0),MATCH(BM$4,$D$44:$E$44,0)),IF(BR53=0,"",BR53))),"")</f>
        <v/>
      </c>
      <c r="BN53" s="139" t="str">
        <f>IFERROR(IF($Z53&gt;$E$12,"",IF($E$5="Uniform Inputs",INDEX($D$45:$E$53,MATCH($BK$3,$B$45:$B$53,0),MATCH(BN$4,$D$44:$E$44,0)),IF(BS53=0,"",BS53))),"")</f>
        <v/>
      </c>
      <c r="BO53" s="10" t="str">
        <f t="shared" si="46"/>
        <v/>
      </c>
      <c r="BP53" s="11" t="s">
        <v>22</v>
      </c>
      <c r="BQ53" s="168" t="s">
        <v>22</v>
      </c>
      <c r="BR53" s="11" t="s">
        <v>22</v>
      </c>
      <c r="BS53" s="11" t="s">
        <v>22</v>
      </c>
      <c r="BT53" s="139" t="str">
        <f t="shared" si="30"/>
        <v/>
      </c>
      <c r="BU53" s="112" t="str">
        <f t="shared" si="47"/>
        <v/>
      </c>
      <c r="BV53" s="139" t="str">
        <f>IFERROR(IF($Z53&gt;$E$12,"",IF($E$5="Uniform Inputs",INDEX($D$45:$E$53,MATCH($BT$3,$B$45:$B$53,0),MATCH(BV$4,$D$44:$E$44,0)),IF(CA53=0,"",CA53))),"")</f>
        <v/>
      </c>
      <c r="BW53" s="139" t="str">
        <f>IFERROR(IF($Z53&gt;$E$12,"",IF($E$5="Uniform Inputs",INDEX($D$45:$E$53,MATCH($BT$3,$B$45:$B$53,0),MATCH(BW$4,$D$44:$E$44,0)),IF(CB53=0,"",CB53))),"")</f>
        <v/>
      </c>
      <c r="BX53" s="10" t="str">
        <f t="shared" si="48"/>
        <v/>
      </c>
      <c r="BY53" s="11" t="s">
        <v>22</v>
      </c>
      <c r="BZ53" s="168" t="s">
        <v>22</v>
      </c>
      <c r="CA53" s="11" t="s">
        <v>22</v>
      </c>
      <c r="CB53" s="11" t="s">
        <v>22</v>
      </c>
      <c r="CC53" s="139" t="str">
        <f t="shared" si="31"/>
        <v/>
      </c>
      <c r="CD53" s="112" t="str">
        <f t="shared" si="49"/>
        <v/>
      </c>
      <c r="CE53" s="139" t="str">
        <f>IFERROR(IF($Z53&gt;$E$12,"",IF($E$5="Uniform Inputs",INDEX($D$45:$E$53,MATCH($CC$3,$B$45:$B$53,0),MATCH(CE$4,$D$44:$E$44,0)),IF(CJ53=0,"",CJ53))),"")</f>
        <v/>
      </c>
      <c r="CF53" s="139" t="str">
        <f>IFERROR(IF($Z53&gt;$E$12,"",IF($E$5="Uniform Inputs",INDEX($D$45:$E$53,MATCH($CC$3,$B$45:$B$53,0),MATCH(CF$4,$D$44:$E$44,0)),IF(CK53=0,"",CK53))),"")</f>
        <v/>
      </c>
      <c r="CG53" s="10" t="str">
        <f t="shared" si="50"/>
        <v/>
      </c>
      <c r="CH53" s="11" t="s">
        <v>22</v>
      </c>
      <c r="CI53" s="168" t="s">
        <v>22</v>
      </c>
      <c r="CJ53" s="11" t="s">
        <v>22</v>
      </c>
      <c r="CK53" s="11" t="s">
        <v>22</v>
      </c>
      <c r="CL53" s="139" t="str">
        <f t="shared" si="32"/>
        <v/>
      </c>
      <c r="CM53" s="112" t="str">
        <f t="shared" si="51"/>
        <v/>
      </c>
      <c r="CN53" s="139" t="str">
        <f>IFERROR(IF($Z53&gt;$E$12,"",IF($E$5="Uniform Inputs",INDEX($D$45:$E$53,MATCH($CL$3,$B$45:$B$53,0),MATCH(CN$4,$D$44:$E$44,0)),IF(CS53=0,"",CS53))),"")</f>
        <v/>
      </c>
      <c r="CO53" s="139" t="str">
        <f>IFERROR(IF($Z53&gt;$E$12,"",IF($E$5="Uniform Inputs",INDEX($D$45:$E$53,MATCH($CL$3,$B$45:$B$53,0),MATCH(CO$4,$D$44:$E$44,0)),IF(CT53=0,"",CT53))),"")</f>
        <v/>
      </c>
      <c r="CP53" s="10" t="str">
        <f t="shared" si="52"/>
        <v/>
      </c>
      <c r="CQ53" s="11" t="s">
        <v>22</v>
      </c>
      <c r="CR53" s="168" t="s">
        <v>22</v>
      </c>
      <c r="CS53" s="11" t="s">
        <v>22</v>
      </c>
      <c r="CT53" s="11" t="s">
        <v>22</v>
      </c>
      <c r="CU53" s="139" t="str">
        <f t="shared" si="33"/>
        <v/>
      </c>
      <c r="CV53" s="112" t="str">
        <f t="shared" si="53"/>
        <v/>
      </c>
      <c r="CW53" s="139" t="str">
        <f>IFERROR(IF($Z53&gt;$E$12,"",IF($E$5="Uniform Inputs",INDEX($D$45:$E$53,MATCH($CU$3,$B$45:$B$53,0),MATCH(CW$4,$D$44:$E$44,0)),IF(DB53=0,"",DB53))),"")</f>
        <v/>
      </c>
      <c r="CX53" s="139" t="str">
        <f>IFERROR(IF($Z53&gt;$E$12,"",IF($E$5="Uniform Inputs",INDEX($D$45:$E$53,MATCH($CU$3,$B$45:$B$53,0),MATCH(CX$4,$D$44:$E$44,0)),IF(DC53=0,"",DC53))),"")</f>
        <v/>
      </c>
      <c r="CY53" s="10" t="str">
        <f t="shared" si="54"/>
        <v/>
      </c>
      <c r="CZ53" s="11" t="s">
        <v>22</v>
      </c>
      <c r="DA53" s="168" t="s">
        <v>22</v>
      </c>
      <c r="DB53" s="11" t="s">
        <v>22</v>
      </c>
      <c r="DC53" s="11" t="s">
        <v>22</v>
      </c>
    </row>
    <row r="54" spans="2:107" x14ac:dyDescent="0.25">
      <c r="B54" s="3" t="s">
        <v>22</v>
      </c>
      <c r="C54" s="3" t="s">
        <v>22</v>
      </c>
      <c r="D54" s="2" t="s">
        <v>22</v>
      </c>
      <c r="K54" s="6" t="str">
        <f t="shared" si="22"/>
        <v/>
      </c>
      <c r="O54" s="6" t="str">
        <f t="shared" si="23"/>
        <v/>
      </c>
      <c r="P54" s="35" t="str">
        <f t="shared" si="34"/>
        <v/>
      </c>
      <c r="Q54" s="102" t="str">
        <f t="shared" si="35"/>
        <v/>
      </c>
      <c r="R54" s="102" t="str">
        <f t="shared" ca="1" si="36"/>
        <v/>
      </c>
      <c r="S54" s="112" t="str">
        <f t="shared" si="24"/>
        <v/>
      </c>
      <c r="T54" s="112" t="str">
        <f t="shared" ca="1" si="37"/>
        <v/>
      </c>
      <c r="U54" s="1" t="str">
        <f t="shared" si="25"/>
        <v/>
      </c>
      <c r="V54" s="1" t="str">
        <f t="shared" ca="1" si="38"/>
        <v/>
      </c>
      <c r="W54" s="34" t="str">
        <f t="shared" ca="1" si="26"/>
        <v/>
      </c>
      <c r="Y54" s="2">
        <v>49</v>
      </c>
      <c r="Z54" s="6" t="str">
        <f t="shared" si="27"/>
        <v/>
      </c>
      <c r="AA54" s="139" t="str">
        <f>IF($E$5="Uniform Inputs",IF($Z54&gt;$E$12,"",MIN($E$21,($I$5+'Cash Flows'!$BX$8+INDEX('Cash Flows'!$C$19:$BW$19,1,MATCH(EOMONTH(AB54,MOD(-MONTH(AB54),3)-3),'Cash Flows'!$C$4:$BW$4,0)))/$E$12)),IF(AF54&gt;0,AF54,""))</f>
        <v/>
      </c>
      <c r="AB54" s="112" t="str">
        <f t="shared" si="55"/>
        <v/>
      </c>
      <c r="AC54" s="139" t="str">
        <f>IFERROR(IF($Z54&gt;$E$12,"",IF($E$5="Uniform Inputs",INDEX($D$45:$E$53,MATCH($AA$3,$B$45:$B$53,0),MATCH(AC$4,$D$44:$E$44,0)),IF(AH54=0,"",AH54))),"")</f>
        <v/>
      </c>
      <c r="AD54" s="139" t="str">
        <f>IFERROR(IF($Z54&gt;$E$12,"",IF($E$5="Uniform Inputs",INDEX($D$45:$E$53,MATCH($AA$3,$B$45:$B$53,0),MATCH(AD$4,$D$44:$E$44,0)),IF(AI54=0,"",AI54))),"")</f>
        <v/>
      </c>
      <c r="AE54" s="10" t="str">
        <f t="shared" si="29"/>
        <v/>
      </c>
      <c r="AF54" s="11" t="s">
        <v>22</v>
      </c>
      <c r="AG54" s="168" t="s">
        <v>22</v>
      </c>
      <c r="AH54" s="11" t="s">
        <v>22</v>
      </c>
      <c r="AI54" s="11" t="s">
        <v>22</v>
      </c>
      <c r="AJ54" s="139" t="str">
        <f>IF($E$5="Uniform Inputs",IF($Z54&gt;$E$13,"",IF($E$23="Pro-Rata",MIN(AL54*AE54,(($I$5+'Cash Flows'!$BX$8+INDEX('Cash Flows'!$C$19:$BW$19,1,MATCH(EOMONTH(AK54,MOD(-MONTH(AK54),3)-3),'Cash Flows'!$C$4:$BW$4,0)))-$AA$5)/$E$13),MIN($E$24,(($I$5+'Cash Flows'!$BX$8+INDEX('Cash Flows'!$C$19:$BW$19,1,MATCH(EOMONTH(AK54,MOD(-MONTH(AK54),3)-3),'Cash Flows'!$C$4:$BW$4,0)))-$AA$5)/$E$13))),IF(AO54=0,"",AO54))</f>
        <v/>
      </c>
      <c r="AK54" s="112" t="str">
        <f t="shared" si="39"/>
        <v/>
      </c>
      <c r="AL54" s="139" t="str">
        <f>IFERROR(IF($Z54&gt;$E$12,"",IF($E$5="Uniform Inputs",INDEX($D$45:$E$53,MATCH($AJ$3,$B$45:$B$53,0),MATCH(AL$4,$D$44:$E$44,0)),IF(AQ54=0,"",AQ54))),"")</f>
        <v/>
      </c>
      <c r="AM54" s="139" t="str">
        <f>IFERROR(IF($Z54&gt;$E$12,"",IF($E$5="Uniform Inputs",INDEX($D$45:$E$53,MATCH($AJ$3,$B$45:$B$53,0),MATCH(AM$4,$D$44:$E$44,0)),IF(AR54=0,"",AR54))),"")</f>
        <v/>
      </c>
      <c r="AN54" s="10" t="str">
        <f t="shared" si="40"/>
        <v/>
      </c>
      <c r="AO54" s="11" t="s">
        <v>22</v>
      </c>
      <c r="AP54" s="168" t="s">
        <v>22</v>
      </c>
      <c r="AQ54" s="11" t="s">
        <v>22</v>
      </c>
      <c r="AR54" s="11" t="s">
        <v>22</v>
      </c>
      <c r="AS54" s="139" t="str">
        <f>IF($E$5="Uniform Inputs",IF($Z54&gt;$E$14,"",IF($E$23="Pro-Rata",MIN(AU54*AN54,(($I$5+'Cash Flows'!$BX$8+INDEX('Cash Flows'!$C$19:$BW$19,1,MATCH(EOMONTH(AT54,MOD(-MONTH(AT54),3)-3),'Cash Flows'!$C$4:$BW$4,0)))-SUM($AJ$5,$AA$5))/$E$14),MIN($E$25,(($I$5+'Cash Flows'!$BX$8+INDEX('Cash Flows'!$C$19:$BW$19,1,MATCH(EOMONTH(AT54,MOD(-MONTH(AT54),3)-3),'Cash Flows'!$C$4:$BW$4,0)))-SUM($AJ$5,$AA$5))/$E$14))),IF(AX54=0,"",AX54))</f>
        <v/>
      </c>
      <c r="AT54" s="112" t="str">
        <f t="shared" si="41"/>
        <v/>
      </c>
      <c r="AU54" s="139" t="str">
        <f>IFERROR(IF($Z54&gt;$E$12,"",IF($E$5="Uniform Inputs",INDEX($D$45:$E$53,MATCH($AS$3,$B$45:$B$53,0),MATCH(AU$4,$D$44:$E$44,0)),IF(AZ54=0,"",AZ54))),"")</f>
        <v/>
      </c>
      <c r="AV54" s="139" t="str">
        <f>IFERROR(IF($Z54&gt;$E$12,"",IF($E$5="Uniform Inputs",INDEX($D$45:$E$53,MATCH($AS$3,$B$45:$B$53,0),MATCH(AV$4,$D$44:$E$44,0)),IF(BA54=0,"",BA54))),"")</f>
        <v/>
      </c>
      <c r="AW54" s="10" t="str">
        <f t="shared" si="42"/>
        <v/>
      </c>
      <c r="AX54" s="11" t="s">
        <v>22</v>
      </c>
      <c r="AY54" s="168" t="s">
        <v>22</v>
      </c>
      <c r="AZ54" s="11" t="s">
        <v>22</v>
      </c>
      <c r="BA54" s="11" t="s">
        <v>22</v>
      </c>
      <c r="BB54" s="139" t="str">
        <f>IF($E$5="Uniform Inputs",IF($Z54&gt;$E$15,"",IF($E$23="Pro-Rata",MIN(BD54*AW54,(($I$5+'Cash Flows'!$BX$8+INDEX('Cash Flows'!$C$19:$BW$19,1,MATCH(EOMONTH(BC54,MOD(-MONTH(BC54),3)-3),'Cash Flows'!$C$4:$BW$4,0)))-SUM($AS$5,$AJ$5,$AA$5))/$E$15),MIN($E$26,(($I$5+'Cash Flows'!$BX$8+INDEX('Cash Flows'!$C$19:$BW$19,1,MATCH(EOMONTH(BC54,MOD(-MONTH(BC54),3)-3),'Cash Flows'!$C$4:$BW$4,0)))-SUM($AS$5,$AJ$5,$AA$5))/$E$15))),IF(BG54=0,"",BG54))</f>
        <v/>
      </c>
      <c r="BC54" s="112" t="str">
        <f t="shared" si="43"/>
        <v/>
      </c>
      <c r="BD54" s="139" t="str">
        <f>IFERROR(IF($Z54&gt;$E$12,"",IF($E$5="Uniform Inputs",INDEX($D$45:$E$53,MATCH($BB$3,$B$45:$B$53,0),MATCH(BD$4,$D$44:$E$44,0)),IF(BI54=0,"",BI54))),"")</f>
        <v/>
      </c>
      <c r="BE54" s="139" t="str">
        <f>IFERROR(IF($Z54&gt;$E$12,"",IF($E$5="Uniform Inputs",INDEX($D$45:$E$53,MATCH($BB$3,$B$45:$B$53,0),MATCH(BE$4,$D$44:$E$44,0)),IF(BJ54=0,"",BJ54))),"")</f>
        <v/>
      </c>
      <c r="BF54" s="10" t="str">
        <f t="shared" si="44"/>
        <v/>
      </c>
      <c r="BG54" s="11" t="s">
        <v>22</v>
      </c>
      <c r="BH54" s="168" t="s">
        <v>22</v>
      </c>
      <c r="BI54" s="11" t="s">
        <v>22</v>
      </c>
      <c r="BJ54" s="11" t="s">
        <v>22</v>
      </c>
      <c r="BK54" s="139" t="str">
        <f>IF($E$5="Uniform Inputs",IF($Z54&gt;$E$16,"",IF($E$23="Pro-Rata",MIN(BM54*BF54,(($I$5+'Cash Flows'!$BX$8+INDEX('Cash Flows'!$C$19:$BW$19,1,MATCH(EOMONTH(BL54,MOD(-MONTH(BL54),3)-3),'Cash Flows'!$C$4:$BW$4,0)))-SUM($BB$5,$AS$5,$AJ$5,$AA$5))/$E$16),MIN($E$27,(($I$5+'Cash Flows'!$BX$8+INDEX('Cash Flows'!$C$19:$BW$19,1,MATCH(EOMONTH(BL54,MOD(-MONTH(BL54),3)-3),'Cash Flows'!$C$4:$BW$4,0)))-SUM($BB$5,$AS$5,$AJ$5,$AA$5))/$E$16))),IF(BP54=0,"",BP54))</f>
        <v/>
      </c>
      <c r="BL54" s="112" t="str">
        <f t="shared" si="45"/>
        <v/>
      </c>
      <c r="BM54" s="139" t="str">
        <f>IFERROR(IF($Z54&gt;$E$12,"",IF($E$5="Uniform Inputs",INDEX($D$45:$E$53,MATCH($BK$3,$B$45:$B$53,0),MATCH(BM$4,$D$44:$E$44,0)),IF(BR54=0,"",BR54))),"")</f>
        <v/>
      </c>
      <c r="BN54" s="139" t="str">
        <f>IFERROR(IF($Z54&gt;$E$12,"",IF($E$5="Uniform Inputs",INDEX($D$45:$E$53,MATCH($BK$3,$B$45:$B$53,0),MATCH(BN$4,$D$44:$E$44,0)),IF(BS54=0,"",BS54))),"")</f>
        <v/>
      </c>
      <c r="BO54" s="10" t="str">
        <f t="shared" si="46"/>
        <v/>
      </c>
      <c r="BP54" s="11" t="s">
        <v>22</v>
      </c>
      <c r="BQ54" s="168" t="s">
        <v>22</v>
      </c>
      <c r="BR54" s="11" t="s">
        <v>22</v>
      </c>
      <c r="BS54" s="11" t="s">
        <v>22</v>
      </c>
      <c r="BT54" s="139" t="str">
        <f t="shared" si="30"/>
        <v/>
      </c>
      <c r="BU54" s="112" t="str">
        <f t="shared" si="47"/>
        <v/>
      </c>
      <c r="BV54" s="139" t="str">
        <f>IFERROR(IF($Z54&gt;$E$12,"",IF($E$5="Uniform Inputs",INDEX($D$45:$E$53,MATCH($BT$3,$B$45:$B$53,0),MATCH(BV$4,$D$44:$E$44,0)),IF(CA54=0,"",CA54))),"")</f>
        <v/>
      </c>
      <c r="BW54" s="139" t="str">
        <f>IFERROR(IF($Z54&gt;$E$12,"",IF($E$5="Uniform Inputs",INDEX($D$45:$E$53,MATCH($BT$3,$B$45:$B$53,0),MATCH(BW$4,$D$44:$E$44,0)),IF(CB54=0,"",CB54))),"")</f>
        <v/>
      </c>
      <c r="BX54" s="10" t="str">
        <f t="shared" si="48"/>
        <v/>
      </c>
      <c r="BY54" s="11" t="s">
        <v>22</v>
      </c>
      <c r="BZ54" s="168" t="s">
        <v>22</v>
      </c>
      <c r="CA54" s="11" t="s">
        <v>22</v>
      </c>
      <c r="CB54" s="11" t="s">
        <v>22</v>
      </c>
      <c r="CC54" s="139" t="str">
        <f t="shared" si="31"/>
        <v/>
      </c>
      <c r="CD54" s="112" t="str">
        <f t="shared" si="49"/>
        <v/>
      </c>
      <c r="CE54" s="139" t="str">
        <f>IFERROR(IF($Z54&gt;$E$12,"",IF($E$5="Uniform Inputs",INDEX($D$45:$E$53,MATCH($CC$3,$B$45:$B$53,0),MATCH(CE$4,$D$44:$E$44,0)),IF(CJ54=0,"",CJ54))),"")</f>
        <v/>
      </c>
      <c r="CF54" s="139" t="str">
        <f>IFERROR(IF($Z54&gt;$E$12,"",IF($E$5="Uniform Inputs",INDEX($D$45:$E$53,MATCH($CC$3,$B$45:$B$53,0),MATCH(CF$4,$D$44:$E$44,0)),IF(CK54=0,"",CK54))),"")</f>
        <v/>
      </c>
      <c r="CG54" s="10" t="str">
        <f t="shared" si="50"/>
        <v/>
      </c>
      <c r="CH54" s="11" t="s">
        <v>22</v>
      </c>
      <c r="CI54" s="168" t="s">
        <v>22</v>
      </c>
      <c r="CJ54" s="11" t="s">
        <v>22</v>
      </c>
      <c r="CK54" s="11" t="s">
        <v>22</v>
      </c>
      <c r="CL54" s="139" t="str">
        <f t="shared" si="32"/>
        <v/>
      </c>
      <c r="CM54" s="112" t="str">
        <f t="shared" si="51"/>
        <v/>
      </c>
      <c r="CN54" s="139" t="str">
        <f>IFERROR(IF($Z54&gt;$E$12,"",IF($E$5="Uniform Inputs",INDEX($D$45:$E$53,MATCH($CL$3,$B$45:$B$53,0),MATCH(CN$4,$D$44:$E$44,0)),IF(CS54=0,"",CS54))),"")</f>
        <v/>
      </c>
      <c r="CO54" s="139" t="str">
        <f>IFERROR(IF($Z54&gt;$E$12,"",IF($E$5="Uniform Inputs",INDEX($D$45:$E$53,MATCH($CL$3,$B$45:$B$53,0),MATCH(CO$4,$D$44:$E$44,0)),IF(CT54=0,"",CT54))),"")</f>
        <v/>
      </c>
      <c r="CP54" s="10" t="str">
        <f t="shared" si="52"/>
        <v/>
      </c>
      <c r="CQ54" s="11" t="s">
        <v>22</v>
      </c>
      <c r="CR54" s="168" t="s">
        <v>22</v>
      </c>
      <c r="CS54" s="11" t="s">
        <v>22</v>
      </c>
      <c r="CT54" s="11" t="s">
        <v>22</v>
      </c>
      <c r="CU54" s="139" t="str">
        <f t="shared" si="33"/>
        <v/>
      </c>
      <c r="CV54" s="112" t="str">
        <f t="shared" si="53"/>
        <v/>
      </c>
      <c r="CW54" s="139" t="str">
        <f>IFERROR(IF($Z54&gt;$E$12,"",IF($E$5="Uniform Inputs",INDEX($D$45:$E$53,MATCH($CU$3,$B$45:$B$53,0),MATCH(CW$4,$D$44:$E$44,0)),IF(DB54=0,"",DB54))),"")</f>
        <v/>
      </c>
      <c r="CX54" s="139" t="str">
        <f>IFERROR(IF($Z54&gt;$E$12,"",IF($E$5="Uniform Inputs",INDEX($D$45:$E$53,MATCH($CU$3,$B$45:$B$53,0),MATCH(CX$4,$D$44:$E$44,0)),IF(DC54=0,"",DC54))),"")</f>
        <v/>
      </c>
      <c r="CY54" s="10" t="str">
        <f t="shared" si="54"/>
        <v/>
      </c>
      <c r="CZ54" s="11" t="s">
        <v>22</v>
      </c>
      <c r="DA54" s="168" t="s">
        <v>22</v>
      </c>
      <c r="DB54" s="11" t="s">
        <v>22</v>
      </c>
      <c r="DC54" s="11" t="s">
        <v>22</v>
      </c>
    </row>
    <row r="55" spans="2:107" x14ac:dyDescent="0.25">
      <c r="B55" s="3" t="s">
        <v>22</v>
      </c>
      <c r="C55" s="3" t="s">
        <v>22</v>
      </c>
      <c r="D55" s="2" t="s">
        <v>22</v>
      </c>
      <c r="K55" s="6" t="str">
        <f t="shared" si="22"/>
        <v/>
      </c>
      <c r="O55" s="6" t="str">
        <f t="shared" si="23"/>
        <v/>
      </c>
      <c r="P55" s="35" t="str">
        <f t="shared" si="34"/>
        <v/>
      </c>
      <c r="Q55" s="102" t="str">
        <f t="shared" si="35"/>
        <v/>
      </c>
      <c r="R55" s="102" t="str">
        <f t="shared" ca="1" si="36"/>
        <v/>
      </c>
      <c r="S55" s="112" t="str">
        <f t="shared" si="24"/>
        <v/>
      </c>
      <c r="T55" s="112" t="str">
        <f t="shared" ca="1" si="37"/>
        <v/>
      </c>
      <c r="U55" s="1" t="str">
        <f t="shared" si="25"/>
        <v/>
      </c>
      <c r="V55" s="1" t="str">
        <f t="shared" ca="1" si="38"/>
        <v/>
      </c>
      <c r="W55" s="34" t="str">
        <f t="shared" ca="1" si="26"/>
        <v/>
      </c>
      <c r="Y55" s="2">
        <v>50</v>
      </c>
      <c r="Z55" s="6" t="str">
        <f t="shared" si="27"/>
        <v/>
      </c>
      <c r="AA55" s="139" t="str">
        <f>IF($E$5="Uniform Inputs",IF($Z55&gt;$E$12,"",MIN($E$21,($I$5+'Cash Flows'!$BX$8+INDEX('Cash Flows'!$C$19:$BW$19,1,MATCH(EOMONTH(AB55,MOD(-MONTH(AB55),3)-3),'Cash Flows'!$C$4:$BW$4,0)))/$E$12)),IF(AF55&gt;0,AF55,""))</f>
        <v/>
      </c>
      <c r="AB55" s="112" t="str">
        <f t="shared" si="55"/>
        <v/>
      </c>
      <c r="AC55" s="139" t="str">
        <f>IFERROR(IF($Z55&gt;$E$12,"",IF($E$5="Uniform Inputs",INDEX($D$45:$E$53,MATCH($AA$3,$B$45:$B$53,0),MATCH(AC$4,$D$44:$E$44,0)),IF(AH55=0,"",AH55))),"")</f>
        <v/>
      </c>
      <c r="AD55" s="139" t="str">
        <f>IFERROR(IF($Z55&gt;$E$12,"",IF($E$5="Uniform Inputs",INDEX($D$45:$E$53,MATCH($AA$3,$B$45:$B$53,0),MATCH(AD$4,$D$44:$E$44,0)),IF(AI55=0,"",AI55))),"")</f>
        <v/>
      </c>
      <c r="AE55" s="10" t="str">
        <f t="shared" si="29"/>
        <v/>
      </c>
      <c r="AF55" s="11" t="s">
        <v>22</v>
      </c>
      <c r="AG55" s="168" t="s">
        <v>22</v>
      </c>
      <c r="AH55" s="11" t="s">
        <v>22</v>
      </c>
      <c r="AI55" s="11" t="s">
        <v>22</v>
      </c>
      <c r="AJ55" s="139" t="str">
        <f>IF($E$5="Uniform Inputs",IF($Z55&gt;$E$13,"",IF($E$23="Pro-Rata",MIN(AL55*AE55,(($I$5+'Cash Flows'!$BX$8+INDEX('Cash Flows'!$C$19:$BW$19,1,MATCH(EOMONTH(AK55,MOD(-MONTH(AK55),3)-3),'Cash Flows'!$C$4:$BW$4,0)))-$AA$5)/$E$13),MIN($E$24,(($I$5+'Cash Flows'!$BX$8+INDEX('Cash Flows'!$C$19:$BW$19,1,MATCH(EOMONTH(AK55,MOD(-MONTH(AK55),3)-3),'Cash Flows'!$C$4:$BW$4,0)))-$AA$5)/$E$13))),IF(AO55=0,"",AO55))</f>
        <v/>
      </c>
      <c r="AK55" s="112" t="str">
        <f t="shared" si="39"/>
        <v/>
      </c>
      <c r="AL55" s="139" t="str">
        <f>IFERROR(IF($Z55&gt;$E$12,"",IF($E$5="Uniform Inputs",INDEX($D$45:$E$53,MATCH($AJ$3,$B$45:$B$53,0),MATCH(AL$4,$D$44:$E$44,0)),IF(AQ55=0,"",AQ55))),"")</f>
        <v/>
      </c>
      <c r="AM55" s="139" t="str">
        <f>IFERROR(IF($Z55&gt;$E$12,"",IF($E$5="Uniform Inputs",INDEX($D$45:$E$53,MATCH($AJ$3,$B$45:$B$53,0),MATCH(AM$4,$D$44:$E$44,0)),IF(AR55=0,"",AR55))),"")</f>
        <v/>
      </c>
      <c r="AN55" s="10" t="str">
        <f t="shared" si="40"/>
        <v/>
      </c>
      <c r="AO55" s="11" t="s">
        <v>22</v>
      </c>
      <c r="AP55" s="168" t="s">
        <v>22</v>
      </c>
      <c r="AQ55" s="11" t="s">
        <v>22</v>
      </c>
      <c r="AR55" s="11" t="s">
        <v>22</v>
      </c>
      <c r="AS55" s="139" t="str">
        <f>IF($E$5="Uniform Inputs",IF($Z55&gt;$E$14,"",IF($E$23="Pro-Rata",MIN(AU55*AN55,(($I$5+'Cash Flows'!$BX$8+INDEX('Cash Flows'!$C$19:$BW$19,1,MATCH(EOMONTH(AT55,MOD(-MONTH(AT55),3)-3),'Cash Flows'!$C$4:$BW$4,0)))-SUM($AJ$5,$AA$5))/$E$14),MIN($E$25,(($I$5+'Cash Flows'!$BX$8+INDEX('Cash Flows'!$C$19:$BW$19,1,MATCH(EOMONTH(AT55,MOD(-MONTH(AT55),3)-3),'Cash Flows'!$C$4:$BW$4,0)))-SUM($AJ$5,$AA$5))/$E$14))),IF(AX55=0,"",AX55))</f>
        <v/>
      </c>
      <c r="AT55" s="112" t="str">
        <f t="shared" si="41"/>
        <v/>
      </c>
      <c r="AU55" s="139" t="str">
        <f>IFERROR(IF($Z55&gt;$E$12,"",IF($E$5="Uniform Inputs",INDEX($D$45:$E$53,MATCH($AS$3,$B$45:$B$53,0),MATCH(AU$4,$D$44:$E$44,0)),IF(AZ55=0,"",AZ55))),"")</f>
        <v/>
      </c>
      <c r="AV55" s="139" t="str">
        <f>IFERROR(IF($Z55&gt;$E$12,"",IF($E$5="Uniform Inputs",INDEX($D$45:$E$53,MATCH($AS$3,$B$45:$B$53,0),MATCH(AV$4,$D$44:$E$44,0)),IF(BA55=0,"",BA55))),"")</f>
        <v/>
      </c>
      <c r="AW55" s="10" t="str">
        <f t="shared" si="42"/>
        <v/>
      </c>
      <c r="AX55" s="11" t="s">
        <v>22</v>
      </c>
      <c r="AY55" s="168" t="s">
        <v>22</v>
      </c>
      <c r="AZ55" s="11" t="s">
        <v>22</v>
      </c>
      <c r="BA55" s="11" t="s">
        <v>22</v>
      </c>
      <c r="BB55" s="139" t="str">
        <f>IF($E$5="Uniform Inputs",IF($Z55&gt;$E$15,"",IF($E$23="Pro-Rata",MIN(BD55*AW55,(($I$5+'Cash Flows'!$BX$8+INDEX('Cash Flows'!$C$19:$BW$19,1,MATCH(EOMONTH(BC55,MOD(-MONTH(BC55),3)-3),'Cash Flows'!$C$4:$BW$4,0)))-SUM($AS$5,$AJ$5,$AA$5))/$E$15),MIN($E$26,(($I$5+'Cash Flows'!$BX$8+INDEX('Cash Flows'!$C$19:$BW$19,1,MATCH(EOMONTH(BC55,MOD(-MONTH(BC55),3)-3),'Cash Flows'!$C$4:$BW$4,0)))-SUM($AS$5,$AJ$5,$AA$5))/$E$15))),IF(BG55=0,"",BG55))</f>
        <v/>
      </c>
      <c r="BC55" s="112" t="str">
        <f t="shared" si="43"/>
        <v/>
      </c>
      <c r="BD55" s="139" t="str">
        <f>IFERROR(IF($Z55&gt;$E$12,"",IF($E$5="Uniform Inputs",INDEX($D$45:$E$53,MATCH($BB$3,$B$45:$B$53,0),MATCH(BD$4,$D$44:$E$44,0)),IF(BI55=0,"",BI55))),"")</f>
        <v/>
      </c>
      <c r="BE55" s="139" t="str">
        <f>IFERROR(IF($Z55&gt;$E$12,"",IF($E$5="Uniform Inputs",INDEX($D$45:$E$53,MATCH($BB$3,$B$45:$B$53,0),MATCH(BE$4,$D$44:$E$44,0)),IF(BJ55=0,"",BJ55))),"")</f>
        <v/>
      </c>
      <c r="BF55" s="10" t="str">
        <f t="shared" si="44"/>
        <v/>
      </c>
      <c r="BG55" s="11" t="s">
        <v>22</v>
      </c>
      <c r="BH55" s="168" t="s">
        <v>22</v>
      </c>
      <c r="BI55" s="11" t="s">
        <v>22</v>
      </c>
      <c r="BJ55" s="11" t="s">
        <v>22</v>
      </c>
      <c r="BK55" s="139" t="str">
        <f>IF($E$5="Uniform Inputs",IF($Z55&gt;$E$16,"",IF($E$23="Pro-Rata",MIN(BM55*BF55,(($I$5+'Cash Flows'!$BX$8+INDEX('Cash Flows'!$C$19:$BW$19,1,MATCH(EOMONTH(BL55,MOD(-MONTH(BL55),3)-3),'Cash Flows'!$C$4:$BW$4,0)))-SUM($BB$5,$AS$5,$AJ$5,$AA$5))/$E$16),MIN($E$27,(($I$5+'Cash Flows'!$BX$8+INDEX('Cash Flows'!$C$19:$BW$19,1,MATCH(EOMONTH(BL55,MOD(-MONTH(BL55),3)-3),'Cash Flows'!$C$4:$BW$4,0)))-SUM($BB$5,$AS$5,$AJ$5,$AA$5))/$E$16))),IF(BP55=0,"",BP55))</f>
        <v/>
      </c>
      <c r="BL55" s="112" t="str">
        <f t="shared" si="45"/>
        <v/>
      </c>
      <c r="BM55" s="139" t="str">
        <f>IFERROR(IF($Z55&gt;$E$12,"",IF($E$5="Uniform Inputs",INDEX($D$45:$E$53,MATCH($BK$3,$B$45:$B$53,0),MATCH(BM$4,$D$44:$E$44,0)),IF(BR55=0,"",BR55))),"")</f>
        <v/>
      </c>
      <c r="BN55" s="139" t="str">
        <f>IFERROR(IF($Z55&gt;$E$12,"",IF($E$5="Uniform Inputs",INDEX($D$45:$E$53,MATCH($BK$3,$B$45:$B$53,0),MATCH(BN$4,$D$44:$E$44,0)),IF(BS55=0,"",BS55))),"")</f>
        <v/>
      </c>
      <c r="BO55" s="10" t="str">
        <f t="shared" si="46"/>
        <v/>
      </c>
      <c r="BP55" s="11" t="s">
        <v>22</v>
      </c>
      <c r="BQ55" s="168" t="s">
        <v>22</v>
      </c>
      <c r="BR55" s="11" t="s">
        <v>22</v>
      </c>
      <c r="BS55" s="11" t="s">
        <v>22</v>
      </c>
      <c r="BT55" s="139" t="str">
        <f t="shared" si="30"/>
        <v/>
      </c>
      <c r="BU55" s="112" t="str">
        <f t="shared" si="47"/>
        <v/>
      </c>
      <c r="BV55" s="139" t="str">
        <f>IFERROR(IF($Z55&gt;$E$12,"",IF($E$5="Uniform Inputs",INDEX($D$45:$E$53,MATCH($BT$3,$B$45:$B$53,0),MATCH(BV$4,$D$44:$E$44,0)),IF(CA55=0,"",CA55))),"")</f>
        <v/>
      </c>
      <c r="BW55" s="139" t="str">
        <f>IFERROR(IF($Z55&gt;$E$12,"",IF($E$5="Uniform Inputs",INDEX($D$45:$E$53,MATCH($BT$3,$B$45:$B$53,0),MATCH(BW$4,$D$44:$E$44,0)),IF(CB55=0,"",CB55))),"")</f>
        <v/>
      </c>
      <c r="BX55" s="10" t="str">
        <f t="shared" si="48"/>
        <v/>
      </c>
      <c r="BY55" s="11" t="s">
        <v>22</v>
      </c>
      <c r="BZ55" s="168" t="s">
        <v>22</v>
      </c>
      <c r="CA55" s="11" t="s">
        <v>22</v>
      </c>
      <c r="CB55" s="11" t="s">
        <v>22</v>
      </c>
      <c r="CC55" s="139" t="str">
        <f t="shared" si="31"/>
        <v/>
      </c>
      <c r="CD55" s="112" t="str">
        <f t="shared" si="49"/>
        <v/>
      </c>
      <c r="CE55" s="139" t="str">
        <f>IFERROR(IF($Z55&gt;$E$12,"",IF($E$5="Uniform Inputs",INDEX($D$45:$E$53,MATCH($CC$3,$B$45:$B$53,0),MATCH(CE$4,$D$44:$E$44,0)),IF(CJ55=0,"",CJ55))),"")</f>
        <v/>
      </c>
      <c r="CF55" s="139" t="str">
        <f>IFERROR(IF($Z55&gt;$E$12,"",IF($E$5="Uniform Inputs",INDEX($D$45:$E$53,MATCH($CC$3,$B$45:$B$53,0),MATCH(CF$4,$D$44:$E$44,0)),IF(CK55=0,"",CK55))),"")</f>
        <v/>
      </c>
      <c r="CG55" s="10" t="str">
        <f t="shared" si="50"/>
        <v/>
      </c>
      <c r="CH55" s="11" t="s">
        <v>22</v>
      </c>
      <c r="CI55" s="168" t="s">
        <v>22</v>
      </c>
      <c r="CJ55" s="11" t="s">
        <v>22</v>
      </c>
      <c r="CK55" s="11" t="s">
        <v>22</v>
      </c>
      <c r="CL55" s="139" t="str">
        <f t="shared" si="32"/>
        <v/>
      </c>
      <c r="CM55" s="112" t="str">
        <f t="shared" si="51"/>
        <v/>
      </c>
      <c r="CN55" s="139" t="str">
        <f>IFERROR(IF($Z55&gt;$E$12,"",IF($E$5="Uniform Inputs",INDEX($D$45:$E$53,MATCH($CL$3,$B$45:$B$53,0),MATCH(CN$4,$D$44:$E$44,0)),IF(CS55=0,"",CS55))),"")</f>
        <v/>
      </c>
      <c r="CO55" s="139" t="str">
        <f>IFERROR(IF($Z55&gt;$E$12,"",IF($E$5="Uniform Inputs",INDEX($D$45:$E$53,MATCH($CL$3,$B$45:$B$53,0),MATCH(CO$4,$D$44:$E$44,0)),IF(CT55=0,"",CT55))),"")</f>
        <v/>
      </c>
      <c r="CP55" s="10" t="str">
        <f t="shared" si="52"/>
        <v/>
      </c>
      <c r="CQ55" s="11" t="s">
        <v>22</v>
      </c>
      <c r="CR55" s="168" t="s">
        <v>22</v>
      </c>
      <c r="CS55" s="11" t="s">
        <v>22</v>
      </c>
      <c r="CT55" s="11" t="s">
        <v>22</v>
      </c>
      <c r="CU55" s="139" t="str">
        <f t="shared" si="33"/>
        <v/>
      </c>
      <c r="CV55" s="112" t="str">
        <f t="shared" si="53"/>
        <v/>
      </c>
      <c r="CW55" s="139" t="str">
        <f>IFERROR(IF($Z55&gt;$E$12,"",IF($E$5="Uniform Inputs",INDEX($D$45:$E$53,MATCH($CU$3,$B$45:$B$53,0),MATCH(CW$4,$D$44:$E$44,0)),IF(DB55=0,"",DB55))),"")</f>
        <v/>
      </c>
      <c r="CX55" s="139" t="str">
        <f>IFERROR(IF($Z55&gt;$E$12,"",IF($E$5="Uniform Inputs",INDEX($D$45:$E$53,MATCH($CU$3,$B$45:$B$53,0),MATCH(CX$4,$D$44:$E$44,0)),IF(DC55=0,"",DC55))),"")</f>
        <v/>
      </c>
      <c r="CY55" s="10" t="str">
        <f t="shared" si="54"/>
        <v/>
      </c>
      <c r="CZ55" s="11" t="s">
        <v>22</v>
      </c>
      <c r="DA55" s="168" t="s">
        <v>22</v>
      </c>
      <c r="DB55" s="11" t="s">
        <v>22</v>
      </c>
      <c r="DC55" s="11" t="s">
        <v>22</v>
      </c>
    </row>
    <row r="56" spans="2:107" x14ac:dyDescent="0.25">
      <c r="B56" s="3" t="s">
        <v>22</v>
      </c>
      <c r="C56" s="3" t="s">
        <v>22</v>
      </c>
      <c r="D56" s="2" t="s">
        <v>22</v>
      </c>
      <c r="K56" s="6" t="str">
        <f t="shared" si="22"/>
        <v/>
      </c>
      <c r="O56" s="6" t="str">
        <f t="shared" si="23"/>
        <v/>
      </c>
      <c r="P56" s="35" t="str">
        <f t="shared" si="34"/>
        <v/>
      </c>
      <c r="Q56" s="102" t="str">
        <f t="shared" si="35"/>
        <v/>
      </c>
      <c r="R56" s="102" t="str">
        <f t="shared" ca="1" si="36"/>
        <v/>
      </c>
      <c r="S56" s="112" t="str">
        <f t="shared" si="24"/>
        <v/>
      </c>
      <c r="T56" s="112" t="str">
        <f t="shared" ca="1" si="37"/>
        <v/>
      </c>
      <c r="U56" s="1" t="str">
        <f t="shared" si="25"/>
        <v/>
      </c>
      <c r="V56" s="1" t="str">
        <f t="shared" ca="1" si="38"/>
        <v/>
      </c>
      <c r="W56" s="34" t="str">
        <f t="shared" ca="1" si="26"/>
        <v/>
      </c>
      <c r="Y56" s="2">
        <v>51</v>
      </c>
      <c r="Z56" s="6" t="str">
        <f t="shared" si="27"/>
        <v/>
      </c>
      <c r="AA56" s="139" t="str">
        <f>IF($E$5="Uniform Inputs",IF($Z56&gt;$E$12,"",MIN($E$21,($I$5+'Cash Flows'!$BX$8+INDEX('Cash Flows'!$C$19:$BW$19,1,MATCH(EOMONTH(AB56,MOD(-MONTH(AB56),3)-3),'Cash Flows'!$C$4:$BW$4,0)))/$E$12)),IF(AF56&gt;0,AF56,""))</f>
        <v/>
      </c>
      <c r="AB56" s="112" t="str">
        <f t="shared" si="55"/>
        <v/>
      </c>
      <c r="AC56" s="139" t="str">
        <f>IFERROR(IF($Z56&gt;$E$12,"",IF($E$5="Uniform Inputs",INDEX($D$45:$E$53,MATCH($AA$3,$B$45:$B$53,0),MATCH(AC$4,$D$44:$E$44,0)),IF(AH56=0,"",AH56))),"")</f>
        <v/>
      </c>
      <c r="AD56" s="139" t="str">
        <f>IFERROR(IF($Z56&gt;$E$12,"",IF($E$5="Uniform Inputs",INDEX($D$45:$E$53,MATCH($AA$3,$B$45:$B$53,0),MATCH(AD$4,$D$44:$E$44,0)),IF(AI56=0,"",AI56))),"")</f>
        <v/>
      </c>
      <c r="AE56" s="10" t="str">
        <f t="shared" si="29"/>
        <v/>
      </c>
      <c r="AF56" s="11" t="s">
        <v>22</v>
      </c>
      <c r="AG56" s="168" t="s">
        <v>22</v>
      </c>
      <c r="AH56" s="11" t="s">
        <v>22</v>
      </c>
      <c r="AI56" s="11" t="s">
        <v>22</v>
      </c>
      <c r="AJ56" s="139" t="str">
        <f>IF($E$5="Uniform Inputs",IF($Z56&gt;$E$13,"",IF($E$23="Pro-Rata",MIN(AL56*AE56,(($I$5+'Cash Flows'!$BX$8+INDEX('Cash Flows'!$C$19:$BW$19,1,MATCH(EOMONTH(AK56,MOD(-MONTH(AK56),3)-3),'Cash Flows'!$C$4:$BW$4,0)))-$AA$5)/$E$13),MIN($E$24,(($I$5+'Cash Flows'!$BX$8+INDEX('Cash Flows'!$C$19:$BW$19,1,MATCH(EOMONTH(AK56,MOD(-MONTH(AK56),3)-3),'Cash Flows'!$C$4:$BW$4,0)))-$AA$5)/$E$13))),IF(AO56=0,"",AO56))</f>
        <v/>
      </c>
      <c r="AK56" s="112" t="str">
        <f t="shared" si="39"/>
        <v/>
      </c>
      <c r="AL56" s="139" t="str">
        <f>IFERROR(IF($Z56&gt;$E$12,"",IF($E$5="Uniform Inputs",INDEX($D$45:$E$53,MATCH($AJ$3,$B$45:$B$53,0),MATCH(AL$4,$D$44:$E$44,0)),IF(AQ56=0,"",AQ56))),"")</f>
        <v/>
      </c>
      <c r="AM56" s="139" t="str">
        <f>IFERROR(IF($Z56&gt;$E$12,"",IF($E$5="Uniform Inputs",INDEX($D$45:$E$53,MATCH($AJ$3,$B$45:$B$53,0),MATCH(AM$4,$D$44:$E$44,0)),IF(AR56=0,"",AR56))),"")</f>
        <v/>
      </c>
      <c r="AN56" s="10" t="str">
        <f t="shared" si="40"/>
        <v/>
      </c>
      <c r="AO56" s="11" t="s">
        <v>22</v>
      </c>
      <c r="AP56" s="168" t="s">
        <v>22</v>
      </c>
      <c r="AQ56" s="11" t="s">
        <v>22</v>
      </c>
      <c r="AR56" s="11" t="s">
        <v>22</v>
      </c>
      <c r="AS56" s="139" t="str">
        <f>IF($E$5="Uniform Inputs",IF($Z56&gt;$E$14,"",IF($E$23="Pro-Rata",MIN(AU56*AN56,(($I$5+'Cash Flows'!$BX$8+INDEX('Cash Flows'!$C$19:$BW$19,1,MATCH(EOMONTH(AT56,MOD(-MONTH(AT56),3)-3),'Cash Flows'!$C$4:$BW$4,0)))-SUM($AJ$5,$AA$5))/$E$14),MIN($E$25,(($I$5+'Cash Flows'!$BX$8+INDEX('Cash Flows'!$C$19:$BW$19,1,MATCH(EOMONTH(AT56,MOD(-MONTH(AT56),3)-3),'Cash Flows'!$C$4:$BW$4,0)))-SUM($AJ$5,$AA$5))/$E$14))),IF(AX56=0,"",AX56))</f>
        <v/>
      </c>
      <c r="AT56" s="112" t="str">
        <f t="shared" si="41"/>
        <v/>
      </c>
      <c r="AU56" s="139" t="str">
        <f>IFERROR(IF($Z56&gt;$E$12,"",IF($E$5="Uniform Inputs",INDEX($D$45:$E$53,MATCH($AS$3,$B$45:$B$53,0),MATCH(AU$4,$D$44:$E$44,0)),IF(AZ56=0,"",AZ56))),"")</f>
        <v/>
      </c>
      <c r="AV56" s="139" t="str">
        <f>IFERROR(IF($Z56&gt;$E$12,"",IF($E$5="Uniform Inputs",INDEX($D$45:$E$53,MATCH($AS$3,$B$45:$B$53,0),MATCH(AV$4,$D$44:$E$44,0)),IF(BA56=0,"",BA56))),"")</f>
        <v/>
      </c>
      <c r="AW56" s="10" t="str">
        <f t="shared" si="42"/>
        <v/>
      </c>
      <c r="AX56" s="11" t="s">
        <v>22</v>
      </c>
      <c r="AY56" s="168" t="s">
        <v>22</v>
      </c>
      <c r="AZ56" s="11" t="s">
        <v>22</v>
      </c>
      <c r="BA56" s="11" t="s">
        <v>22</v>
      </c>
      <c r="BB56" s="139" t="str">
        <f>IF($E$5="Uniform Inputs",IF($Z56&gt;$E$15,"",IF($E$23="Pro-Rata",MIN(BD56*AW56,(($I$5+'Cash Flows'!$BX$8+INDEX('Cash Flows'!$C$19:$BW$19,1,MATCH(EOMONTH(BC56,MOD(-MONTH(BC56),3)-3),'Cash Flows'!$C$4:$BW$4,0)))-SUM($AS$5,$AJ$5,$AA$5))/$E$15),MIN($E$26,(($I$5+'Cash Flows'!$BX$8+INDEX('Cash Flows'!$C$19:$BW$19,1,MATCH(EOMONTH(BC56,MOD(-MONTH(BC56),3)-3),'Cash Flows'!$C$4:$BW$4,0)))-SUM($AS$5,$AJ$5,$AA$5))/$E$15))),IF(BG56=0,"",BG56))</f>
        <v/>
      </c>
      <c r="BC56" s="112" t="str">
        <f t="shared" si="43"/>
        <v/>
      </c>
      <c r="BD56" s="139" t="str">
        <f>IFERROR(IF($Z56&gt;$E$12,"",IF($E$5="Uniform Inputs",INDEX($D$45:$E$53,MATCH($BB$3,$B$45:$B$53,0),MATCH(BD$4,$D$44:$E$44,0)),IF(BI56=0,"",BI56))),"")</f>
        <v/>
      </c>
      <c r="BE56" s="139" t="str">
        <f>IFERROR(IF($Z56&gt;$E$12,"",IF($E$5="Uniform Inputs",INDEX($D$45:$E$53,MATCH($BB$3,$B$45:$B$53,0),MATCH(BE$4,$D$44:$E$44,0)),IF(BJ56=0,"",BJ56))),"")</f>
        <v/>
      </c>
      <c r="BF56" s="10" t="str">
        <f t="shared" si="44"/>
        <v/>
      </c>
      <c r="BG56" s="11" t="s">
        <v>22</v>
      </c>
      <c r="BH56" s="168" t="s">
        <v>22</v>
      </c>
      <c r="BI56" s="11" t="s">
        <v>22</v>
      </c>
      <c r="BJ56" s="11" t="s">
        <v>22</v>
      </c>
      <c r="BK56" s="139" t="str">
        <f>IF($E$5="Uniform Inputs",IF($Z56&gt;$E$16,"",IF($E$23="Pro-Rata",MIN(BM56*BF56,(($I$5+'Cash Flows'!$BX$8+INDEX('Cash Flows'!$C$19:$BW$19,1,MATCH(EOMONTH(BL56,MOD(-MONTH(BL56),3)-3),'Cash Flows'!$C$4:$BW$4,0)))-SUM($BB$5,$AS$5,$AJ$5,$AA$5))/$E$16),MIN($E$27,(($I$5+'Cash Flows'!$BX$8+INDEX('Cash Flows'!$C$19:$BW$19,1,MATCH(EOMONTH(BL56,MOD(-MONTH(BL56),3)-3),'Cash Flows'!$C$4:$BW$4,0)))-SUM($BB$5,$AS$5,$AJ$5,$AA$5))/$E$16))),IF(BP56=0,"",BP56))</f>
        <v/>
      </c>
      <c r="BL56" s="112" t="str">
        <f t="shared" si="45"/>
        <v/>
      </c>
      <c r="BM56" s="139" t="str">
        <f>IFERROR(IF($Z56&gt;$E$12,"",IF($E$5="Uniform Inputs",INDEX($D$45:$E$53,MATCH($BK$3,$B$45:$B$53,0),MATCH(BM$4,$D$44:$E$44,0)),IF(BR56=0,"",BR56))),"")</f>
        <v/>
      </c>
      <c r="BN56" s="139" t="str">
        <f>IFERROR(IF($Z56&gt;$E$12,"",IF($E$5="Uniform Inputs",INDEX($D$45:$E$53,MATCH($BK$3,$B$45:$B$53,0),MATCH(BN$4,$D$44:$E$44,0)),IF(BS56=0,"",BS56))),"")</f>
        <v/>
      </c>
      <c r="BO56" s="10" t="str">
        <f t="shared" si="46"/>
        <v/>
      </c>
      <c r="BP56" s="11" t="s">
        <v>22</v>
      </c>
      <c r="BQ56" s="168" t="s">
        <v>22</v>
      </c>
      <c r="BR56" s="11" t="s">
        <v>22</v>
      </c>
      <c r="BS56" s="11" t="s">
        <v>22</v>
      </c>
      <c r="BT56" s="139" t="str">
        <f t="shared" si="30"/>
        <v/>
      </c>
      <c r="BU56" s="112" t="str">
        <f t="shared" si="47"/>
        <v/>
      </c>
      <c r="BV56" s="139" t="str">
        <f>IFERROR(IF($Z56&gt;$E$12,"",IF($E$5="Uniform Inputs",INDEX($D$45:$E$53,MATCH($BT$3,$B$45:$B$53,0),MATCH(BV$4,$D$44:$E$44,0)),IF(CA56=0,"",CA56))),"")</f>
        <v/>
      </c>
      <c r="BW56" s="139" t="str">
        <f>IFERROR(IF($Z56&gt;$E$12,"",IF($E$5="Uniform Inputs",INDEX($D$45:$E$53,MATCH($BT$3,$B$45:$B$53,0),MATCH(BW$4,$D$44:$E$44,0)),IF(CB56=0,"",CB56))),"")</f>
        <v/>
      </c>
      <c r="BX56" s="10" t="str">
        <f t="shared" si="48"/>
        <v/>
      </c>
      <c r="BY56" s="11" t="s">
        <v>22</v>
      </c>
      <c r="BZ56" s="168" t="s">
        <v>22</v>
      </c>
      <c r="CA56" s="11" t="s">
        <v>22</v>
      </c>
      <c r="CB56" s="11" t="s">
        <v>22</v>
      </c>
      <c r="CC56" s="139" t="str">
        <f t="shared" si="31"/>
        <v/>
      </c>
      <c r="CD56" s="112" t="str">
        <f t="shared" si="49"/>
        <v/>
      </c>
      <c r="CE56" s="139" t="str">
        <f>IFERROR(IF($Z56&gt;$E$12,"",IF($E$5="Uniform Inputs",INDEX($D$45:$E$53,MATCH($CC$3,$B$45:$B$53,0),MATCH(CE$4,$D$44:$E$44,0)),IF(CJ56=0,"",CJ56))),"")</f>
        <v/>
      </c>
      <c r="CF56" s="139" t="str">
        <f>IFERROR(IF($Z56&gt;$E$12,"",IF($E$5="Uniform Inputs",INDEX($D$45:$E$53,MATCH($CC$3,$B$45:$B$53,0),MATCH(CF$4,$D$44:$E$44,0)),IF(CK56=0,"",CK56))),"")</f>
        <v/>
      </c>
      <c r="CG56" s="10" t="str">
        <f t="shared" si="50"/>
        <v/>
      </c>
      <c r="CH56" s="11" t="s">
        <v>22</v>
      </c>
      <c r="CI56" s="168" t="s">
        <v>22</v>
      </c>
      <c r="CJ56" s="11" t="s">
        <v>22</v>
      </c>
      <c r="CK56" s="11" t="s">
        <v>22</v>
      </c>
      <c r="CL56" s="139" t="str">
        <f t="shared" si="32"/>
        <v/>
      </c>
      <c r="CM56" s="112" t="str">
        <f t="shared" si="51"/>
        <v/>
      </c>
      <c r="CN56" s="139" t="str">
        <f>IFERROR(IF($Z56&gt;$E$12,"",IF($E$5="Uniform Inputs",INDEX($D$45:$E$53,MATCH($CL$3,$B$45:$B$53,0),MATCH(CN$4,$D$44:$E$44,0)),IF(CS56=0,"",CS56))),"")</f>
        <v/>
      </c>
      <c r="CO56" s="139" t="str">
        <f>IFERROR(IF($Z56&gt;$E$12,"",IF($E$5="Uniform Inputs",INDEX($D$45:$E$53,MATCH($CL$3,$B$45:$B$53,0),MATCH(CO$4,$D$44:$E$44,0)),IF(CT56=0,"",CT56))),"")</f>
        <v/>
      </c>
      <c r="CP56" s="10" t="str">
        <f t="shared" si="52"/>
        <v/>
      </c>
      <c r="CQ56" s="11" t="s">
        <v>22</v>
      </c>
      <c r="CR56" s="168" t="s">
        <v>22</v>
      </c>
      <c r="CS56" s="11" t="s">
        <v>22</v>
      </c>
      <c r="CT56" s="11" t="s">
        <v>22</v>
      </c>
      <c r="CU56" s="139" t="str">
        <f t="shared" si="33"/>
        <v/>
      </c>
      <c r="CV56" s="112" t="str">
        <f t="shared" si="53"/>
        <v/>
      </c>
      <c r="CW56" s="139" t="str">
        <f>IFERROR(IF($Z56&gt;$E$12,"",IF($E$5="Uniform Inputs",INDEX($D$45:$E$53,MATCH($CU$3,$B$45:$B$53,0),MATCH(CW$4,$D$44:$E$44,0)),IF(DB56=0,"",DB56))),"")</f>
        <v/>
      </c>
      <c r="CX56" s="139" t="str">
        <f>IFERROR(IF($Z56&gt;$E$12,"",IF($E$5="Uniform Inputs",INDEX($D$45:$E$53,MATCH($CU$3,$B$45:$B$53,0),MATCH(CX$4,$D$44:$E$44,0)),IF(DC56=0,"",DC56))),"")</f>
        <v/>
      </c>
      <c r="CY56" s="10" t="str">
        <f t="shared" si="54"/>
        <v/>
      </c>
      <c r="CZ56" s="11" t="s">
        <v>22</v>
      </c>
      <c r="DA56" s="168" t="s">
        <v>22</v>
      </c>
      <c r="DB56" s="11" t="s">
        <v>22</v>
      </c>
      <c r="DC56" s="11" t="s">
        <v>22</v>
      </c>
    </row>
    <row r="57" spans="2:107" x14ac:dyDescent="0.25">
      <c r="B57" s="3" t="s">
        <v>22</v>
      </c>
      <c r="C57" s="3" t="s">
        <v>22</v>
      </c>
      <c r="D57" s="2" t="s">
        <v>22</v>
      </c>
      <c r="K57" s="6" t="str">
        <f t="shared" si="22"/>
        <v/>
      </c>
      <c r="O57" s="6" t="str">
        <f t="shared" si="23"/>
        <v/>
      </c>
      <c r="P57" s="35" t="str">
        <f t="shared" si="34"/>
        <v/>
      </c>
      <c r="Q57" s="102" t="str">
        <f t="shared" si="35"/>
        <v/>
      </c>
      <c r="R57" s="102" t="str">
        <f t="shared" ca="1" si="36"/>
        <v/>
      </c>
      <c r="S57" s="112" t="str">
        <f t="shared" si="24"/>
        <v/>
      </c>
      <c r="T57" s="112" t="str">
        <f t="shared" ca="1" si="37"/>
        <v/>
      </c>
      <c r="U57" s="1" t="str">
        <f t="shared" si="25"/>
        <v/>
      </c>
      <c r="V57" s="1" t="str">
        <f t="shared" ca="1" si="38"/>
        <v/>
      </c>
      <c r="W57" s="34" t="str">
        <f t="shared" ca="1" si="26"/>
        <v/>
      </c>
      <c r="Y57" s="2">
        <v>52</v>
      </c>
      <c r="Z57" s="6" t="str">
        <f t="shared" si="27"/>
        <v/>
      </c>
      <c r="AA57" s="139" t="str">
        <f>IF($E$5="Uniform Inputs",IF($Z57&gt;$E$12,"",MIN($E$21,($I$5+'Cash Flows'!$BX$8+INDEX('Cash Flows'!$C$19:$BW$19,1,MATCH(EOMONTH(AB57,MOD(-MONTH(AB57),3)-3),'Cash Flows'!$C$4:$BW$4,0)))/$E$12)),IF(AF57&gt;0,AF57,""))</f>
        <v/>
      </c>
      <c r="AB57" s="112" t="str">
        <f t="shared" si="55"/>
        <v/>
      </c>
      <c r="AC57" s="139" t="str">
        <f>IFERROR(IF($Z57&gt;$E$12,"",IF($E$5="Uniform Inputs",INDEX($D$45:$E$53,MATCH($AA$3,$B$45:$B$53,0),MATCH(AC$4,$D$44:$E$44,0)),IF(AH57=0,"",AH57))),"")</f>
        <v/>
      </c>
      <c r="AD57" s="139" t="str">
        <f>IFERROR(IF($Z57&gt;$E$12,"",IF($E$5="Uniform Inputs",INDEX($D$45:$E$53,MATCH($AA$3,$B$45:$B$53,0),MATCH(AD$4,$D$44:$E$44,0)),IF(AI57=0,"",AI57))),"")</f>
        <v/>
      </c>
      <c r="AE57" s="10" t="str">
        <f t="shared" si="29"/>
        <v/>
      </c>
      <c r="AF57" s="11" t="s">
        <v>22</v>
      </c>
      <c r="AG57" s="168" t="s">
        <v>22</v>
      </c>
      <c r="AH57" s="11" t="s">
        <v>22</v>
      </c>
      <c r="AI57" s="11" t="s">
        <v>22</v>
      </c>
      <c r="AJ57" s="139" t="str">
        <f>IF($E$5="Uniform Inputs",IF($Z57&gt;$E$13,"",IF($E$23="Pro-Rata",MIN(AL57*AE57,(($I$5+'Cash Flows'!$BX$8+INDEX('Cash Flows'!$C$19:$BW$19,1,MATCH(EOMONTH(AK57,MOD(-MONTH(AK57),3)-3),'Cash Flows'!$C$4:$BW$4,0)))-$AA$5)/$E$13),MIN($E$24,(($I$5+'Cash Flows'!$BX$8+INDEX('Cash Flows'!$C$19:$BW$19,1,MATCH(EOMONTH(AK57,MOD(-MONTH(AK57),3)-3),'Cash Flows'!$C$4:$BW$4,0)))-$AA$5)/$E$13))),IF(AO57=0,"",AO57))</f>
        <v/>
      </c>
      <c r="AK57" s="112" t="str">
        <f t="shared" si="39"/>
        <v/>
      </c>
      <c r="AL57" s="139" t="str">
        <f>IFERROR(IF($Z57&gt;$E$12,"",IF($E$5="Uniform Inputs",INDEX($D$45:$E$53,MATCH($AJ$3,$B$45:$B$53,0),MATCH(AL$4,$D$44:$E$44,0)),IF(AQ57=0,"",AQ57))),"")</f>
        <v/>
      </c>
      <c r="AM57" s="139" t="str">
        <f>IFERROR(IF($Z57&gt;$E$12,"",IF($E$5="Uniform Inputs",INDEX($D$45:$E$53,MATCH($AJ$3,$B$45:$B$53,0),MATCH(AM$4,$D$44:$E$44,0)),IF(AR57=0,"",AR57))),"")</f>
        <v/>
      </c>
      <c r="AN57" s="10" t="str">
        <f t="shared" si="40"/>
        <v/>
      </c>
      <c r="AO57" s="11" t="s">
        <v>22</v>
      </c>
      <c r="AP57" s="168" t="s">
        <v>22</v>
      </c>
      <c r="AQ57" s="11" t="s">
        <v>22</v>
      </c>
      <c r="AR57" s="11" t="s">
        <v>22</v>
      </c>
      <c r="AS57" s="139" t="str">
        <f>IF($E$5="Uniform Inputs",IF($Z57&gt;$E$14,"",IF($E$23="Pro-Rata",MIN(AU57*AN57,(($I$5+'Cash Flows'!$BX$8+INDEX('Cash Flows'!$C$19:$BW$19,1,MATCH(EOMONTH(AT57,MOD(-MONTH(AT57),3)-3),'Cash Flows'!$C$4:$BW$4,0)))-SUM($AJ$5,$AA$5))/$E$14),MIN($E$25,(($I$5+'Cash Flows'!$BX$8+INDEX('Cash Flows'!$C$19:$BW$19,1,MATCH(EOMONTH(AT57,MOD(-MONTH(AT57),3)-3),'Cash Flows'!$C$4:$BW$4,0)))-SUM($AJ$5,$AA$5))/$E$14))),IF(AX57=0,"",AX57))</f>
        <v/>
      </c>
      <c r="AT57" s="112" t="str">
        <f t="shared" si="41"/>
        <v/>
      </c>
      <c r="AU57" s="139" t="str">
        <f>IFERROR(IF($Z57&gt;$E$12,"",IF($E$5="Uniform Inputs",INDEX($D$45:$E$53,MATCH($AS$3,$B$45:$B$53,0),MATCH(AU$4,$D$44:$E$44,0)),IF(AZ57=0,"",AZ57))),"")</f>
        <v/>
      </c>
      <c r="AV57" s="139" t="str">
        <f>IFERROR(IF($Z57&gt;$E$12,"",IF($E$5="Uniform Inputs",INDEX($D$45:$E$53,MATCH($AS$3,$B$45:$B$53,0),MATCH(AV$4,$D$44:$E$44,0)),IF(BA57=0,"",BA57))),"")</f>
        <v/>
      </c>
      <c r="AW57" s="10" t="str">
        <f t="shared" si="42"/>
        <v/>
      </c>
      <c r="AX57" s="11" t="s">
        <v>22</v>
      </c>
      <c r="AY57" s="168" t="s">
        <v>22</v>
      </c>
      <c r="AZ57" s="11" t="s">
        <v>22</v>
      </c>
      <c r="BA57" s="11" t="s">
        <v>22</v>
      </c>
      <c r="BB57" s="139" t="str">
        <f>IF($E$5="Uniform Inputs",IF($Z57&gt;$E$15,"",IF($E$23="Pro-Rata",MIN(BD57*AW57,(($I$5+'Cash Flows'!$BX$8+INDEX('Cash Flows'!$C$19:$BW$19,1,MATCH(EOMONTH(BC57,MOD(-MONTH(BC57),3)-3),'Cash Flows'!$C$4:$BW$4,0)))-SUM($AS$5,$AJ$5,$AA$5))/$E$15),MIN($E$26,(($I$5+'Cash Flows'!$BX$8+INDEX('Cash Flows'!$C$19:$BW$19,1,MATCH(EOMONTH(BC57,MOD(-MONTH(BC57),3)-3),'Cash Flows'!$C$4:$BW$4,0)))-SUM($AS$5,$AJ$5,$AA$5))/$E$15))),IF(BG57=0,"",BG57))</f>
        <v/>
      </c>
      <c r="BC57" s="112" t="str">
        <f t="shared" si="43"/>
        <v/>
      </c>
      <c r="BD57" s="139" t="str">
        <f>IFERROR(IF($Z57&gt;$E$12,"",IF($E$5="Uniform Inputs",INDEX($D$45:$E$53,MATCH($BB$3,$B$45:$B$53,0),MATCH(BD$4,$D$44:$E$44,0)),IF(BI57=0,"",BI57))),"")</f>
        <v/>
      </c>
      <c r="BE57" s="139" t="str">
        <f>IFERROR(IF($Z57&gt;$E$12,"",IF($E$5="Uniform Inputs",INDEX($D$45:$E$53,MATCH($BB$3,$B$45:$B$53,0),MATCH(BE$4,$D$44:$E$44,0)),IF(BJ57=0,"",BJ57))),"")</f>
        <v/>
      </c>
      <c r="BF57" s="10" t="str">
        <f t="shared" si="44"/>
        <v/>
      </c>
      <c r="BG57" s="11" t="s">
        <v>22</v>
      </c>
      <c r="BH57" s="168" t="s">
        <v>22</v>
      </c>
      <c r="BI57" s="11" t="s">
        <v>22</v>
      </c>
      <c r="BJ57" s="11" t="s">
        <v>22</v>
      </c>
      <c r="BK57" s="139" t="str">
        <f>IF($E$5="Uniform Inputs",IF($Z57&gt;$E$16,"",IF($E$23="Pro-Rata",MIN(BM57*BF57,(($I$5+'Cash Flows'!$BX$8+INDEX('Cash Flows'!$C$19:$BW$19,1,MATCH(EOMONTH(BL57,MOD(-MONTH(BL57),3)-3),'Cash Flows'!$C$4:$BW$4,0)))-SUM($BB$5,$AS$5,$AJ$5,$AA$5))/$E$16),MIN($E$27,(($I$5+'Cash Flows'!$BX$8+INDEX('Cash Flows'!$C$19:$BW$19,1,MATCH(EOMONTH(BL57,MOD(-MONTH(BL57),3)-3),'Cash Flows'!$C$4:$BW$4,0)))-SUM($BB$5,$AS$5,$AJ$5,$AA$5))/$E$16))),IF(BP57=0,"",BP57))</f>
        <v/>
      </c>
      <c r="BL57" s="112" t="str">
        <f t="shared" si="45"/>
        <v/>
      </c>
      <c r="BM57" s="139" t="str">
        <f>IFERROR(IF($Z57&gt;$E$12,"",IF($E$5="Uniform Inputs",INDEX($D$45:$E$53,MATCH($BK$3,$B$45:$B$53,0),MATCH(BM$4,$D$44:$E$44,0)),IF(BR57=0,"",BR57))),"")</f>
        <v/>
      </c>
      <c r="BN57" s="139" t="str">
        <f>IFERROR(IF($Z57&gt;$E$12,"",IF($E$5="Uniform Inputs",INDEX($D$45:$E$53,MATCH($BK$3,$B$45:$B$53,0),MATCH(BN$4,$D$44:$E$44,0)),IF(BS57=0,"",BS57))),"")</f>
        <v/>
      </c>
      <c r="BO57" s="10" t="str">
        <f t="shared" si="46"/>
        <v/>
      </c>
      <c r="BP57" s="11" t="s">
        <v>22</v>
      </c>
      <c r="BQ57" s="168" t="s">
        <v>22</v>
      </c>
      <c r="BR57" s="11" t="s">
        <v>22</v>
      </c>
      <c r="BS57" s="11" t="s">
        <v>22</v>
      </c>
      <c r="BT57" s="139" t="str">
        <f t="shared" si="30"/>
        <v/>
      </c>
      <c r="BU57" s="112" t="str">
        <f t="shared" si="47"/>
        <v/>
      </c>
      <c r="BV57" s="139" t="str">
        <f>IFERROR(IF($Z57&gt;$E$12,"",IF($E$5="Uniform Inputs",INDEX($D$45:$E$53,MATCH($BT$3,$B$45:$B$53,0),MATCH(BV$4,$D$44:$E$44,0)),IF(CA57=0,"",CA57))),"")</f>
        <v/>
      </c>
      <c r="BW57" s="139" t="str">
        <f>IFERROR(IF($Z57&gt;$E$12,"",IF($E$5="Uniform Inputs",INDEX($D$45:$E$53,MATCH($BT$3,$B$45:$B$53,0),MATCH(BW$4,$D$44:$E$44,0)),IF(CB57=0,"",CB57))),"")</f>
        <v/>
      </c>
      <c r="BX57" s="10" t="str">
        <f t="shared" si="48"/>
        <v/>
      </c>
      <c r="BY57" s="11" t="s">
        <v>22</v>
      </c>
      <c r="BZ57" s="168" t="s">
        <v>22</v>
      </c>
      <c r="CA57" s="11" t="s">
        <v>22</v>
      </c>
      <c r="CB57" s="11" t="s">
        <v>22</v>
      </c>
      <c r="CC57" s="139" t="str">
        <f t="shared" si="31"/>
        <v/>
      </c>
      <c r="CD57" s="112" t="str">
        <f t="shared" si="49"/>
        <v/>
      </c>
      <c r="CE57" s="139" t="str">
        <f>IFERROR(IF($Z57&gt;$E$12,"",IF($E$5="Uniform Inputs",INDEX($D$45:$E$53,MATCH($CC$3,$B$45:$B$53,0),MATCH(CE$4,$D$44:$E$44,0)),IF(CJ57=0,"",CJ57))),"")</f>
        <v/>
      </c>
      <c r="CF57" s="139" t="str">
        <f>IFERROR(IF($Z57&gt;$E$12,"",IF($E$5="Uniform Inputs",INDEX($D$45:$E$53,MATCH($CC$3,$B$45:$B$53,0),MATCH(CF$4,$D$44:$E$44,0)),IF(CK57=0,"",CK57))),"")</f>
        <v/>
      </c>
      <c r="CG57" s="10" t="str">
        <f t="shared" si="50"/>
        <v/>
      </c>
      <c r="CH57" s="11" t="s">
        <v>22</v>
      </c>
      <c r="CI57" s="168" t="s">
        <v>22</v>
      </c>
      <c r="CJ57" s="11" t="s">
        <v>22</v>
      </c>
      <c r="CK57" s="11" t="s">
        <v>22</v>
      </c>
      <c r="CL57" s="139" t="str">
        <f t="shared" si="32"/>
        <v/>
      </c>
      <c r="CM57" s="112" t="str">
        <f t="shared" si="51"/>
        <v/>
      </c>
      <c r="CN57" s="139" t="str">
        <f>IFERROR(IF($Z57&gt;$E$12,"",IF($E$5="Uniform Inputs",INDEX($D$45:$E$53,MATCH($CL$3,$B$45:$B$53,0),MATCH(CN$4,$D$44:$E$44,0)),IF(CS57=0,"",CS57))),"")</f>
        <v/>
      </c>
      <c r="CO57" s="139" t="str">
        <f>IFERROR(IF($Z57&gt;$E$12,"",IF($E$5="Uniform Inputs",INDEX($D$45:$E$53,MATCH($CL$3,$B$45:$B$53,0),MATCH(CO$4,$D$44:$E$44,0)),IF(CT57=0,"",CT57))),"")</f>
        <v/>
      </c>
      <c r="CP57" s="10" t="str">
        <f t="shared" si="52"/>
        <v/>
      </c>
      <c r="CQ57" s="11" t="s">
        <v>22</v>
      </c>
      <c r="CR57" s="168" t="s">
        <v>22</v>
      </c>
      <c r="CS57" s="11" t="s">
        <v>22</v>
      </c>
      <c r="CT57" s="11" t="s">
        <v>22</v>
      </c>
      <c r="CU57" s="139" t="str">
        <f t="shared" si="33"/>
        <v/>
      </c>
      <c r="CV57" s="112" t="str">
        <f t="shared" si="53"/>
        <v/>
      </c>
      <c r="CW57" s="139" t="str">
        <f>IFERROR(IF($Z57&gt;$E$12,"",IF($E$5="Uniform Inputs",INDEX($D$45:$E$53,MATCH($CU$3,$B$45:$B$53,0),MATCH(CW$4,$D$44:$E$44,0)),IF(DB57=0,"",DB57))),"")</f>
        <v/>
      </c>
      <c r="CX57" s="139" t="str">
        <f>IFERROR(IF($Z57&gt;$E$12,"",IF($E$5="Uniform Inputs",INDEX($D$45:$E$53,MATCH($CU$3,$B$45:$B$53,0),MATCH(CX$4,$D$44:$E$44,0)),IF(DC57=0,"",DC57))),"")</f>
        <v/>
      </c>
      <c r="CY57" s="10" t="str">
        <f t="shared" si="54"/>
        <v/>
      </c>
      <c r="CZ57" s="11" t="s">
        <v>22</v>
      </c>
      <c r="DA57" s="168" t="s">
        <v>22</v>
      </c>
      <c r="DB57" s="11" t="s">
        <v>22</v>
      </c>
      <c r="DC57" s="11" t="s">
        <v>22</v>
      </c>
    </row>
    <row r="58" spans="2:107" x14ac:dyDescent="0.25">
      <c r="B58" s="3" t="s">
        <v>22</v>
      </c>
      <c r="C58" s="3" t="s">
        <v>22</v>
      </c>
      <c r="D58" s="2" t="s">
        <v>22</v>
      </c>
      <c r="K58" s="6" t="str">
        <f t="shared" si="22"/>
        <v/>
      </c>
      <c r="O58" s="6" t="str">
        <f t="shared" si="23"/>
        <v/>
      </c>
      <c r="P58" s="35" t="str">
        <f t="shared" si="34"/>
        <v/>
      </c>
      <c r="Q58" s="102" t="str">
        <f t="shared" si="35"/>
        <v/>
      </c>
      <c r="R58" s="102" t="str">
        <f t="shared" ca="1" si="36"/>
        <v/>
      </c>
      <c r="S58" s="112" t="str">
        <f t="shared" si="24"/>
        <v/>
      </c>
      <c r="T58" s="112" t="str">
        <f t="shared" ca="1" si="37"/>
        <v/>
      </c>
      <c r="U58" s="1" t="str">
        <f t="shared" si="25"/>
        <v/>
      </c>
      <c r="V58" s="1" t="str">
        <f t="shared" ca="1" si="38"/>
        <v/>
      </c>
      <c r="W58" s="34" t="str">
        <f t="shared" ca="1" si="26"/>
        <v/>
      </c>
      <c r="Y58" s="2">
        <v>53</v>
      </c>
      <c r="Z58" s="6" t="str">
        <f t="shared" si="27"/>
        <v/>
      </c>
      <c r="AA58" s="139" t="str">
        <f>IF($E$5="Uniform Inputs",IF($Z58&gt;$E$12,"",MIN($E$21,($I$5+'Cash Flows'!$BX$8+INDEX('Cash Flows'!$C$19:$BW$19,1,MATCH(EOMONTH(AB58,MOD(-MONTH(AB58),3)-3),'Cash Flows'!$C$4:$BW$4,0)))/$E$12)),IF(AF58&gt;0,AF58,""))</f>
        <v/>
      </c>
      <c r="AB58" s="112" t="str">
        <f t="shared" si="55"/>
        <v/>
      </c>
      <c r="AC58" s="139" t="str">
        <f>IFERROR(IF($Z58&gt;$E$12,"",IF($E$5="Uniform Inputs",INDEX($D$45:$E$53,MATCH($AA$3,$B$45:$B$53,0),MATCH(AC$4,$D$44:$E$44,0)),IF(AH58=0,"",AH58))),"")</f>
        <v/>
      </c>
      <c r="AD58" s="139" t="str">
        <f>IFERROR(IF($Z58&gt;$E$12,"",IF($E$5="Uniform Inputs",INDEX($D$45:$E$53,MATCH($AA$3,$B$45:$B$53,0),MATCH(AD$4,$D$44:$E$44,0)),IF(AI58=0,"",AI58))),"")</f>
        <v/>
      </c>
      <c r="AE58" s="10" t="str">
        <f t="shared" si="29"/>
        <v/>
      </c>
      <c r="AF58" s="11" t="s">
        <v>22</v>
      </c>
      <c r="AG58" s="168" t="s">
        <v>22</v>
      </c>
      <c r="AH58" s="11" t="s">
        <v>22</v>
      </c>
      <c r="AI58" s="11" t="s">
        <v>22</v>
      </c>
      <c r="AJ58" s="139" t="str">
        <f>IF($E$5="Uniform Inputs",IF($Z58&gt;$E$13,"",IF($E$23="Pro-Rata",MIN(AL58*AE58,(($I$5+'Cash Flows'!$BX$8+INDEX('Cash Flows'!$C$19:$BW$19,1,MATCH(EOMONTH(AK58,MOD(-MONTH(AK58),3)-3),'Cash Flows'!$C$4:$BW$4,0)))-$AA$5)/$E$13),MIN($E$24,(($I$5+'Cash Flows'!$BX$8+INDEX('Cash Flows'!$C$19:$BW$19,1,MATCH(EOMONTH(AK58,MOD(-MONTH(AK58),3)-3),'Cash Flows'!$C$4:$BW$4,0)))-$AA$5)/$E$13))),IF(AO58=0,"",AO58))</f>
        <v/>
      </c>
      <c r="AK58" s="112" t="str">
        <f t="shared" si="39"/>
        <v/>
      </c>
      <c r="AL58" s="139" t="str">
        <f>IFERROR(IF($Z58&gt;$E$12,"",IF($E$5="Uniform Inputs",INDEX($D$45:$E$53,MATCH($AJ$3,$B$45:$B$53,0),MATCH(AL$4,$D$44:$E$44,0)),IF(AQ58=0,"",AQ58))),"")</f>
        <v/>
      </c>
      <c r="AM58" s="139" t="str">
        <f>IFERROR(IF($Z58&gt;$E$12,"",IF($E$5="Uniform Inputs",INDEX($D$45:$E$53,MATCH($AJ$3,$B$45:$B$53,0),MATCH(AM$4,$D$44:$E$44,0)),IF(AR58=0,"",AR58))),"")</f>
        <v/>
      </c>
      <c r="AN58" s="10" t="str">
        <f t="shared" si="40"/>
        <v/>
      </c>
      <c r="AO58" s="11" t="s">
        <v>22</v>
      </c>
      <c r="AP58" s="168" t="s">
        <v>22</v>
      </c>
      <c r="AQ58" s="11" t="s">
        <v>22</v>
      </c>
      <c r="AR58" s="11" t="s">
        <v>22</v>
      </c>
      <c r="AS58" s="139" t="str">
        <f>IF($E$5="Uniform Inputs",IF($Z58&gt;$E$14,"",IF($E$23="Pro-Rata",MIN(AU58*AN58,(($I$5+'Cash Flows'!$BX$8+INDEX('Cash Flows'!$C$19:$BW$19,1,MATCH(EOMONTH(AT58,MOD(-MONTH(AT58),3)-3),'Cash Flows'!$C$4:$BW$4,0)))-SUM($AJ$5,$AA$5))/$E$14),MIN($E$25,(($I$5+'Cash Flows'!$BX$8+INDEX('Cash Flows'!$C$19:$BW$19,1,MATCH(EOMONTH(AT58,MOD(-MONTH(AT58),3)-3),'Cash Flows'!$C$4:$BW$4,0)))-SUM($AJ$5,$AA$5))/$E$14))),IF(AX58=0,"",AX58))</f>
        <v/>
      </c>
      <c r="AT58" s="112" t="str">
        <f t="shared" si="41"/>
        <v/>
      </c>
      <c r="AU58" s="139" t="str">
        <f>IFERROR(IF($Z58&gt;$E$12,"",IF($E$5="Uniform Inputs",INDEX($D$45:$E$53,MATCH($AS$3,$B$45:$B$53,0),MATCH(AU$4,$D$44:$E$44,0)),IF(AZ58=0,"",AZ58))),"")</f>
        <v/>
      </c>
      <c r="AV58" s="139" t="str">
        <f>IFERROR(IF($Z58&gt;$E$12,"",IF($E$5="Uniform Inputs",INDEX($D$45:$E$53,MATCH($AS$3,$B$45:$B$53,0),MATCH(AV$4,$D$44:$E$44,0)),IF(BA58=0,"",BA58))),"")</f>
        <v/>
      </c>
      <c r="AW58" s="10" t="str">
        <f t="shared" si="42"/>
        <v/>
      </c>
      <c r="AX58" s="11" t="s">
        <v>22</v>
      </c>
      <c r="AY58" s="168" t="s">
        <v>22</v>
      </c>
      <c r="AZ58" s="11" t="s">
        <v>22</v>
      </c>
      <c r="BA58" s="11" t="s">
        <v>22</v>
      </c>
      <c r="BB58" s="139" t="str">
        <f>IF($E$5="Uniform Inputs",IF($Z58&gt;$E$15,"",IF($E$23="Pro-Rata",MIN(BD58*AW58,(($I$5+'Cash Flows'!$BX$8+INDEX('Cash Flows'!$C$19:$BW$19,1,MATCH(EOMONTH(BC58,MOD(-MONTH(BC58),3)-3),'Cash Flows'!$C$4:$BW$4,0)))-SUM($AS$5,$AJ$5,$AA$5))/$E$15),MIN($E$26,(($I$5+'Cash Flows'!$BX$8+INDEX('Cash Flows'!$C$19:$BW$19,1,MATCH(EOMONTH(BC58,MOD(-MONTH(BC58),3)-3),'Cash Flows'!$C$4:$BW$4,0)))-SUM($AS$5,$AJ$5,$AA$5))/$E$15))),IF(BG58=0,"",BG58))</f>
        <v/>
      </c>
      <c r="BC58" s="112" t="str">
        <f t="shared" si="43"/>
        <v/>
      </c>
      <c r="BD58" s="139" t="str">
        <f>IFERROR(IF($Z58&gt;$E$12,"",IF($E$5="Uniform Inputs",INDEX($D$45:$E$53,MATCH($BB$3,$B$45:$B$53,0),MATCH(BD$4,$D$44:$E$44,0)),IF(BI58=0,"",BI58))),"")</f>
        <v/>
      </c>
      <c r="BE58" s="139" t="str">
        <f>IFERROR(IF($Z58&gt;$E$12,"",IF($E$5="Uniform Inputs",INDEX($D$45:$E$53,MATCH($BB$3,$B$45:$B$53,0),MATCH(BE$4,$D$44:$E$44,0)),IF(BJ58=0,"",BJ58))),"")</f>
        <v/>
      </c>
      <c r="BF58" s="10" t="str">
        <f t="shared" si="44"/>
        <v/>
      </c>
      <c r="BG58" s="11" t="s">
        <v>22</v>
      </c>
      <c r="BH58" s="168" t="s">
        <v>22</v>
      </c>
      <c r="BI58" s="11" t="s">
        <v>22</v>
      </c>
      <c r="BJ58" s="11" t="s">
        <v>22</v>
      </c>
      <c r="BK58" s="139" t="str">
        <f>IF($E$5="Uniform Inputs",IF($Z58&gt;$E$16,"",IF($E$23="Pro-Rata",MIN(BM58*BF58,(($I$5+'Cash Flows'!$BX$8+INDEX('Cash Flows'!$C$19:$BW$19,1,MATCH(EOMONTH(BL58,MOD(-MONTH(BL58),3)-3),'Cash Flows'!$C$4:$BW$4,0)))-SUM($BB$5,$AS$5,$AJ$5,$AA$5))/$E$16),MIN($E$27,(($I$5+'Cash Flows'!$BX$8+INDEX('Cash Flows'!$C$19:$BW$19,1,MATCH(EOMONTH(BL58,MOD(-MONTH(BL58),3)-3),'Cash Flows'!$C$4:$BW$4,0)))-SUM($BB$5,$AS$5,$AJ$5,$AA$5))/$E$16))),IF(BP58=0,"",BP58))</f>
        <v/>
      </c>
      <c r="BL58" s="112" t="str">
        <f t="shared" si="45"/>
        <v/>
      </c>
      <c r="BM58" s="139" t="str">
        <f>IFERROR(IF($Z58&gt;$E$12,"",IF($E$5="Uniform Inputs",INDEX($D$45:$E$53,MATCH($BK$3,$B$45:$B$53,0),MATCH(BM$4,$D$44:$E$44,0)),IF(BR58=0,"",BR58))),"")</f>
        <v/>
      </c>
      <c r="BN58" s="139" t="str">
        <f>IFERROR(IF($Z58&gt;$E$12,"",IF($E$5="Uniform Inputs",INDEX($D$45:$E$53,MATCH($BK$3,$B$45:$B$53,0),MATCH(BN$4,$D$44:$E$44,0)),IF(BS58=0,"",BS58))),"")</f>
        <v/>
      </c>
      <c r="BO58" s="10" t="str">
        <f t="shared" si="46"/>
        <v/>
      </c>
      <c r="BP58" s="11" t="s">
        <v>22</v>
      </c>
      <c r="BQ58" s="168" t="s">
        <v>22</v>
      </c>
      <c r="BR58" s="11" t="s">
        <v>22</v>
      </c>
      <c r="BS58" s="11" t="s">
        <v>22</v>
      </c>
      <c r="BT58" s="139" t="str">
        <f t="shared" si="30"/>
        <v/>
      </c>
      <c r="BU58" s="112" t="str">
        <f t="shared" si="47"/>
        <v/>
      </c>
      <c r="BV58" s="139" t="str">
        <f>IFERROR(IF($Z58&gt;$E$12,"",IF($E$5="Uniform Inputs",INDEX($D$45:$E$53,MATCH($BT$3,$B$45:$B$53,0),MATCH(BV$4,$D$44:$E$44,0)),IF(CA58=0,"",CA58))),"")</f>
        <v/>
      </c>
      <c r="BW58" s="139" t="str">
        <f>IFERROR(IF($Z58&gt;$E$12,"",IF($E$5="Uniform Inputs",INDEX($D$45:$E$53,MATCH($BT$3,$B$45:$B$53,0),MATCH(BW$4,$D$44:$E$44,0)),IF(CB58=0,"",CB58))),"")</f>
        <v/>
      </c>
      <c r="BX58" s="10" t="str">
        <f t="shared" si="48"/>
        <v/>
      </c>
      <c r="BY58" s="11" t="s">
        <v>22</v>
      </c>
      <c r="BZ58" s="168" t="s">
        <v>22</v>
      </c>
      <c r="CA58" s="11" t="s">
        <v>22</v>
      </c>
      <c r="CB58" s="11" t="s">
        <v>22</v>
      </c>
      <c r="CC58" s="139" t="str">
        <f t="shared" si="31"/>
        <v/>
      </c>
      <c r="CD58" s="112" t="str">
        <f t="shared" si="49"/>
        <v/>
      </c>
      <c r="CE58" s="139" t="str">
        <f>IFERROR(IF($Z58&gt;$E$12,"",IF($E$5="Uniform Inputs",INDEX($D$45:$E$53,MATCH($CC$3,$B$45:$B$53,0),MATCH(CE$4,$D$44:$E$44,0)),IF(CJ58=0,"",CJ58))),"")</f>
        <v/>
      </c>
      <c r="CF58" s="139" t="str">
        <f>IFERROR(IF($Z58&gt;$E$12,"",IF($E$5="Uniform Inputs",INDEX($D$45:$E$53,MATCH($CC$3,$B$45:$B$53,0),MATCH(CF$4,$D$44:$E$44,0)),IF(CK58=0,"",CK58))),"")</f>
        <v/>
      </c>
      <c r="CG58" s="10" t="str">
        <f t="shared" si="50"/>
        <v/>
      </c>
      <c r="CH58" s="11" t="s">
        <v>22</v>
      </c>
      <c r="CI58" s="168" t="s">
        <v>22</v>
      </c>
      <c r="CJ58" s="11" t="s">
        <v>22</v>
      </c>
      <c r="CK58" s="11" t="s">
        <v>22</v>
      </c>
      <c r="CL58" s="139" t="str">
        <f t="shared" si="32"/>
        <v/>
      </c>
      <c r="CM58" s="112" t="str">
        <f t="shared" si="51"/>
        <v/>
      </c>
      <c r="CN58" s="139" t="str">
        <f>IFERROR(IF($Z58&gt;$E$12,"",IF($E$5="Uniform Inputs",INDEX($D$45:$E$53,MATCH($CL$3,$B$45:$B$53,0),MATCH(CN$4,$D$44:$E$44,0)),IF(CS58=0,"",CS58))),"")</f>
        <v/>
      </c>
      <c r="CO58" s="139" t="str">
        <f>IFERROR(IF($Z58&gt;$E$12,"",IF($E$5="Uniform Inputs",INDEX($D$45:$E$53,MATCH($CL$3,$B$45:$B$53,0),MATCH(CO$4,$D$44:$E$44,0)),IF(CT58=0,"",CT58))),"")</f>
        <v/>
      </c>
      <c r="CP58" s="10" t="str">
        <f t="shared" si="52"/>
        <v/>
      </c>
      <c r="CQ58" s="11" t="s">
        <v>22</v>
      </c>
      <c r="CR58" s="168" t="s">
        <v>22</v>
      </c>
      <c r="CS58" s="11" t="s">
        <v>22</v>
      </c>
      <c r="CT58" s="11" t="s">
        <v>22</v>
      </c>
      <c r="CU58" s="139" t="str">
        <f t="shared" si="33"/>
        <v/>
      </c>
      <c r="CV58" s="112" t="str">
        <f t="shared" si="53"/>
        <v/>
      </c>
      <c r="CW58" s="139" t="str">
        <f>IFERROR(IF($Z58&gt;$E$12,"",IF($E$5="Uniform Inputs",INDEX($D$45:$E$53,MATCH($CU$3,$B$45:$B$53,0),MATCH(CW$4,$D$44:$E$44,0)),IF(DB58=0,"",DB58))),"")</f>
        <v/>
      </c>
      <c r="CX58" s="139" t="str">
        <f>IFERROR(IF($Z58&gt;$E$12,"",IF($E$5="Uniform Inputs",INDEX($D$45:$E$53,MATCH($CU$3,$B$45:$B$53,0),MATCH(CX$4,$D$44:$E$44,0)),IF(DC58=0,"",DC58))),"")</f>
        <v/>
      </c>
      <c r="CY58" s="10" t="str">
        <f t="shared" si="54"/>
        <v/>
      </c>
      <c r="CZ58" s="11" t="s">
        <v>22</v>
      </c>
      <c r="DA58" s="168" t="s">
        <v>22</v>
      </c>
      <c r="DB58" s="11" t="s">
        <v>22</v>
      </c>
      <c r="DC58" s="11" t="s">
        <v>22</v>
      </c>
    </row>
    <row r="59" spans="2:107" x14ac:dyDescent="0.25">
      <c r="B59" s="3" t="s">
        <v>22</v>
      </c>
      <c r="C59" s="3" t="s">
        <v>22</v>
      </c>
      <c r="D59" s="2" t="s">
        <v>22</v>
      </c>
      <c r="K59" s="6" t="str">
        <f t="shared" si="22"/>
        <v/>
      </c>
      <c r="O59" s="6" t="str">
        <f t="shared" si="23"/>
        <v/>
      </c>
      <c r="P59" s="35" t="str">
        <f t="shared" si="34"/>
        <v/>
      </c>
      <c r="Q59" s="102" t="str">
        <f t="shared" si="35"/>
        <v/>
      </c>
      <c r="R59" s="102" t="str">
        <f t="shared" ca="1" si="36"/>
        <v/>
      </c>
      <c r="S59" s="112" t="str">
        <f t="shared" si="24"/>
        <v/>
      </c>
      <c r="T59" s="112" t="str">
        <f t="shared" ca="1" si="37"/>
        <v/>
      </c>
      <c r="U59" s="1" t="str">
        <f t="shared" si="25"/>
        <v/>
      </c>
      <c r="V59" s="1" t="str">
        <f t="shared" ca="1" si="38"/>
        <v/>
      </c>
      <c r="W59" s="34" t="str">
        <f t="shared" ca="1" si="26"/>
        <v/>
      </c>
      <c r="Y59" s="2">
        <v>54</v>
      </c>
      <c r="Z59" s="6" t="str">
        <f t="shared" si="27"/>
        <v/>
      </c>
      <c r="AA59" s="139" t="str">
        <f>IF($E$5="Uniform Inputs",IF($Z59&gt;$E$12,"",MIN($E$21,($I$5+'Cash Flows'!$BX$8+INDEX('Cash Flows'!$C$19:$BW$19,1,MATCH(EOMONTH(AB59,MOD(-MONTH(AB59),3)-3),'Cash Flows'!$C$4:$BW$4,0)))/$E$12)),IF(AF59&gt;0,AF59,""))</f>
        <v/>
      </c>
      <c r="AB59" s="112" t="str">
        <f t="shared" si="55"/>
        <v/>
      </c>
      <c r="AC59" s="139" t="str">
        <f>IFERROR(IF($Z59&gt;$E$12,"",IF($E$5="Uniform Inputs",INDEX($D$45:$E$53,MATCH($AA$3,$B$45:$B$53,0),MATCH(AC$4,$D$44:$E$44,0)),IF(AH59=0,"",AH59))),"")</f>
        <v/>
      </c>
      <c r="AD59" s="139" t="str">
        <f>IFERROR(IF($Z59&gt;$E$12,"",IF($E$5="Uniform Inputs",INDEX($D$45:$E$53,MATCH($AA$3,$B$45:$B$53,0),MATCH(AD$4,$D$44:$E$44,0)),IF(AI59=0,"",AI59))),"")</f>
        <v/>
      </c>
      <c r="AE59" s="10" t="str">
        <f t="shared" si="29"/>
        <v/>
      </c>
      <c r="AF59" s="11" t="s">
        <v>22</v>
      </c>
      <c r="AG59" s="168" t="s">
        <v>22</v>
      </c>
      <c r="AH59" s="11" t="s">
        <v>22</v>
      </c>
      <c r="AI59" s="11" t="s">
        <v>22</v>
      </c>
      <c r="AJ59" s="139" t="str">
        <f>IF($E$5="Uniform Inputs",IF($Z59&gt;$E$13,"",IF($E$23="Pro-Rata",MIN(AL59*AE59,(($I$5+'Cash Flows'!$BX$8+INDEX('Cash Flows'!$C$19:$BW$19,1,MATCH(EOMONTH(AK59,MOD(-MONTH(AK59),3)-3),'Cash Flows'!$C$4:$BW$4,0)))-$AA$5)/$E$13),MIN($E$24,(($I$5+'Cash Flows'!$BX$8+INDEX('Cash Flows'!$C$19:$BW$19,1,MATCH(EOMONTH(AK59,MOD(-MONTH(AK59),3)-3),'Cash Flows'!$C$4:$BW$4,0)))-$AA$5)/$E$13))),IF(AO59=0,"",AO59))</f>
        <v/>
      </c>
      <c r="AK59" s="112" t="str">
        <f t="shared" si="39"/>
        <v/>
      </c>
      <c r="AL59" s="139" t="str">
        <f>IFERROR(IF($Z59&gt;$E$12,"",IF($E$5="Uniform Inputs",INDEX($D$45:$E$53,MATCH($AJ$3,$B$45:$B$53,0),MATCH(AL$4,$D$44:$E$44,0)),IF(AQ59=0,"",AQ59))),"")</f>
        <v/>
      </c>
      <c r="AM59" s="139" t="str">
        <f>IFERROR(IF($Z59&gt;$E$12,"",IF($E$5="Uniform Inputs",INDEX($D$45:$E$53,MATCH($AJ$3,$B$45:$B$53,0),MATCH(AM$4,$D$44:$E$44,0)),IF(AR59=0,"",AR59))),"")</f>
        <v/>
      </c>
      <c r="AN59" s="10" t="str">
        <f t="shared" si="40"/>
        <v/>
      </c>
      <c r="AO59" s="11" t="s">
        <v>22</v>
      </c>
      <c r="AP59" s="168" t="s">
        <v>22</v>
      </c>
      <c r="AQ59" s="11" t="s">
        <v>22</v>
      </c>
      <c r="AR59" s="11" t="s">
        <v>22</v>
      </c>
      <c r="AS59" s="139" t="str">
        <f>IF($E$5="Uniform Inputs",IF($Z59&gt;$E$14,"",IF($E$23="Pro-Rata",MIN(AU59*AN59,(($I$5+'Cash Flows'!$BX$8+INDEX('Cash Flows'!$C$19:$BW$19,1,MATCH(EOMONTH(AT59,MOD(-MONTH(AT59),3)-3),'Cash Flows'!$C$4:$BW$4,0)))-SUM($AJ$5,$AA$5))/$E$14),MIN($E$25,(($I$5+'Cash Flows'!$BX$8+INDEX('Cash Flows'!$C$19:$BW$19,1,MATCH(EOMONTH(AT59,MOD(-MONTH(AT59),3)-3),'Cash Flows'!$C$4:$BW$4,0)))-SUM($AJ$5,$AA$5))/$E$14))),IF(AX59=0,"",AX59))</f>
        <v/>
      </c>
      <c r="AT59" s="112" t="str">
        <f t="shared" si="41"/>
        <v/>
      </c>
      <c r="AU59" s="139" t="str">
        <f>IFERROR(IF($Z59&gt;$E$12,"",IF($E$5="Uniform Inputs",INDEX($D$45:$E$53,MATCH($AS$3,$B$45:$B$53,0),MATCH(AU$4,$D$44:$E$44,0)),IF(AZ59=0,"",AZ59))),"")</f>
        <v/>
      </c>
      <c r="AV59" s="139" t="str">
        <f>IFERROR(IF($Z59&gt;$E$12,"",IF($E$5="Uniform Inputs",INDEX($D$45:$E$53,MATCH($AS$3,$B$45:$B$53,0),MATCH(AV$4,$D$44:$E$44,0)),IF(BA59=0,"",BA59))),"")</f>
        <v/>
      </c>
      <c r="AW59" s="10" t="str">
        <f t="shared" si="42"/>
        <v/>
      </c>
      <c r="AX59" s="11" t="s">
        <v>22</v>
      </c>
      <c r="AY59" s="168" t="s">
        <v>22</v>
      </c>
      <c r="AZ59" s="11" t="s">
        <v>22</v>
      </c>
      <c r="BA59" s="11" t="s">
        <v>22</v>
      </c>
      <c r="BB59" s="139" t="str">
        <f>IF($E$5="Uniform Inputs",IF($Z59&gt;$E$15,"",IF($E$23="Pro-Rata",MIN(BD59*AW59,(($I$5+'Cash Flows'!$BX$8+INDEX('Cash Flows'!$C$19:$BW$19,1,MATCH(EOMONTH(BC59,MOD(-MONTH(BC59),3)-3),'Cash Flows'!$C$4:$BW$4,0)))-SUM($AS$5,$AJ$5,$AA$5))/$E$15),MIN($E$26,(($I$5+'Cash Flows'!$BX$8+INDEX('Cash Flows'!$C$19:$BW$19,1,MATCH(EOMONTH(BC59,MOD(-MONTH(BC59),3)-3),'Cash Flows'!$C$4:$BW$4,0)))-SUM($AS$5,$AJ$5,$AA$5))/$E$15))),IF(BG59=0,"",BG59))</f>
        <v/>
      </c>
      <c r="BC59" s="112" t="str">
        <f t="shared" si="43"/>
        <v/>
      </c>
      <c r="BD59" s="139" t="str">
        <f>IFERROR(IF($Z59&gt;$E$12,"",IF($E$5="Uniform Inputs",INDEX($D$45:$E$53,MATCH($BB$3,$B$45:$B$53,0),MATCH(BD$4,$D$44:$E$44,0)),IF(BI59=0,"",BI59))),"")</f>
        <v/>
      </c>
      <c r="BE59" s="139" t="str">
        <f>IFERROR(IF($Z59&gt;$E$12,"",IF($E$5="Uniform Inputs",INDEX($D$45:$E$53,MATCH($BB$3,$B$45:$B$53,0),MATCH(BE$4,$D$44:$E$44,0)),IF(BJ59=0,"",BJ59))),"")</f>
        <v/>
      </c>
      <c r="BF59" s="10" t="str">
        <f t="shared" si="44"/>
        <v/>
      </c>
      <c r="BG59" s="11" t="s">
        <v>22</v>
      </c>
      <c r="BH59" s="168" t="s">
        <v>22</v>
      </c>
      <c r="BI59" s="11" t="s">
        <v>22</v>
      </c>
      <c r="BJ59" s="11" t="s">
        <v>22</v>
      </c>
      <c r="BK59" s="139" t="str">
        <f>IF($E$5="Uniform Inputs",IF($Z59&gt;$E$16,"",IF($E$23="Pro-Rata",MIN(BM59*BF59,(($I$5+'Cash Flows'!$BX$8+INDEX('Cash Flows'!$C$19:$BW$19,1,MATCH(EOMONTH(BL59,MOD(-MONTH(BL59),3)-3),'Cash Flows'!$C$4:$BW$4,0)))-SUM($BB$5,$AS$5,$AJ$5,$AA$5))/$E$16),MIN($E$27,(($I$5+'Cash Flows'!$BX$8+INDEX('Cash Flows'!$C$19:$BW$19,1,MATCH(EOMONTH(BL59,MOD(-MONTH(BL59),3)-3),'Cash Flows'!$C$4:$BW$4,0)))-SUM($BB$5,$AS$5,$AJ$5,$AA$5))/$E$16))),IF(BP59=0,"",BP59))</f>
        <v/>
      </c>
      <c r="BL59" s="112" t="str">
        <f t="shared" si="45"/>
        <v/>
      </c>
      <c r="BM59" s="139" t="str">
        <f>IFERROR(IF($Z59&gt;$E$12,"",IF($E$5="Uniform Inputs",INDEX($D$45:$E$53,MATCH($BK$3,$B$45:$B$53,0),MATCH(BM$4,$D$44:$E$44,0)),IF(BR59=0,"",BR59))),"")</f>
        <v/>
      </c>
      <c r="BN59" s="139" t="str">
        <f>IFERROR(IF($Z59&gt;$E$12,"",IF($E$5="Uniform Inputs",INDEX($D$45:$E$53,MATCH($BK$3,$B$45:$B$53,0),MATCH(BN$4,$D$44:$E$44,0)),IF(BS59=0,"",BS59))),"")</f>
        <v/>
      </c>
      <c r="BO59" s="10" t="str">
        <f t="shared" si="46"/>
        <v/>
      </c>
      <c r="BP59" s="11" t="s">
        <v>22</v>
      </c>
      <c r="BQ59" s="168" t="s">
        <v>22</v>
      </c>
      <c r="BR59" s="11" t="s">
        <v>22</v>
      </c>
      <c r="BS59" s="11" t="s">
        <v>22</v>
      </c>
      <c r="BT59" s="139" t="str">
        <f t="shared" si="30"/>
        <v/>
      </c>
      <c r="BU59" s="112" t="str">
        <f t="shared" si="47"/>
        <v/>
      </c>
      <c r="BV59" s="139" t="str">
        <f>IFERROR(IF($Z59&gt;$E$12,"",IF($E$5="Uniform Inputs",INDEX($D$45:$E$53,MATCH($BT$3,$B$45:$B$53,0),MATCH(BV$4,$D$44:$E$44,0)),IF(CA59=0,"",CA59))),"")</f>
        <v/>
      </c>
      <c r="BW59" s="139" t="str">
        <f>IFERROR(IF($Z59&gt;$E$12,"",IF($E$5="Uniform Inputs",INDEX($D$45:$E$53,MATCH($BT$3,$B$45:$B$53,0),MATCH(BW$4,$D$44:$E$44,0)),IF(CB59=0,"",CB59))),"")</f>
        <v/>
      </c>
      <c r="BX59" s="10" t="str">
        <f t="shared" si="48"/>
        <v/>
      </c>
      <c r="BY59" s="11" t="s">
        <v>22</v>
      </c>
      <c r="BZ59" s="168" t="s">
        <v>22</v>
      </c>
      <c r="CA59" s="11" t="s">
        <v>22</v>
      </c>
      <c r="CB59" s="11" t="s">
        <v>22</v>
      </c>
      <c r="CC59" s="139" t="str">
        <f t="shared" si="31"/>
        <v/>
      </c>
      <c r="CD59" s="112" t="str">
        <f t="shared" si="49"/>
        <v/>
      </c>
      <c r="CE59" s="139" t="str">
        <f>IFERROR(IF($Z59&gt;$E$12,"",IF($E$5="Uniform Inputs",INDEX($D$45:$E$53,MATCH($CC$3,$B$45:$B$53,0),MATCH(CE$4,$D$44:$E$44,0)),IF(CJ59=0,"",CJ59))),"")</f>
        <v/>
      </c>
      <c r="CF59" s="139" t="str">
        <f>IFERROR(IF($Z59&gt;$E$12,"",IF($E$5="Uniform Inputs",INDEX($D$45:$E$53,MATCH($CC$3,$B$45:$B$53,0),MATCH(CF$4,$D$44:$E$44,0)),IF(CK59=0,"",CK59))),"")</f>
        <v/>
      </c>
      <c r="CG59" s="10" t="str">
        <f t="shared" si="50"/>
        <v/>
      </c>
      <c r="CH59" s="11" t="s">
        <v>22</v>
      </c>
      <c r="CI59" s="168" t="s">
        <v>22</v>
      </c>
      <c r="CJ59" s="11" t="s">
        <v>22</v>
      </c>
      <c r="CK59" s="11" t="s">
        <v>22</v>
      </c>
      <c r="CL59" s="139" t="str">
        <f t="shared" si="32"/>
        <v/>
      </c>
      <c r="CM59" s="112" t="str">
        <f t="shared" si="51"/>
        <v/>
      </c>
      <c r="CN59" s="139" t="str">
        <f>IFERROR(IF($Z59&gt;$E$12,"",IF($E$5="Uniform Inputs",INDEX($D$45:$E$53,MATCH($CL$3,$B$45:$B$53,0),MATCH(CN$4,$D$44:$E$44,0)),IF(CS59=0,"",CS59))),"")</f>
        <v/>
      </c>
      <c r="CO59" s="139" t="str">
        <f>IFERROR(IF($Z59&gt;$E$12,"",IF($E$5="Uniform Inputs",INDEX($D$45:$E$53,MATCH($CL$3,$B$45:$B$53,0),MATCH(CO$4,$D$44:$E$44,0)),IF(CT59=0,"",CT59))),"")</f>
        <v/>
      </c>
      <c r="CP59" s="10" t="str">
        <f t="shared" si="52"/>
        <v/>
      </c>
      <c r="CQ59" s="11" t="s">
        <v>22</v>
      </c>
      <c r="CR59" s="168" t="s">
        <v>22</v>
      </c>
      <c r="CS59" s="11" t="s">
        <v>22</v>
      </c>
      <c r="CT59" s="11" t="s">
        <v>22</v>
      </c>
      <c r="CU59" s="139" t="str">
        <f t="shared" si="33"/>
        <v/>
      </c>
      <c r="CV59" s="112" t="str">
        <f t="shared" si="53"/>
        <v/>
      </c>
      <c r="CW59" s="139" t="str">
        <f>IFERROR(IF($Z59&gt;$E$12,"",IF($E$5="Uniform Inputs",INDEX($D$45:$E$53,MATCH($CU$3,$B$45:$B$53,0),MATCH(CW$4,$D$44:$E$44,0)),IF(DB59=0,"",DB59))),"")</f>
        <v/>
      </c>
      <c r="CX59" s="139" t="str">
        <f>IFERROR(IF($Z59&gt;$E$12,"",IF($E$5="Uniform Inputs",INDEX($D$45:$E$53,MATCH($CU$3,$B$45:$B$53,0),MATCH(CX$4,$D$44:$E$44,0)),IF(DC59=0,"",DC59))),"")</f>
        <v/>
      </c>
      <c r="CY59" s="10" t="str">
        <f t="shared" si="54"/>
        <v/>
      </c>
      <c r="CZ59" s="11" t="s">
        <v>22</v>
      </c>
      <c r="DA59" s="168" t="s">
        <v>22</v>
      </c>
      <c r="DB59" s="11" t="s">
        <v>22</v>
      </c>
      <c r="DC59" s="11" t="s">
        <v>22</v>
      </c>
    </row>
    <row r="60" spans="2:107" x14ac:dyDescent="0.25">
      <c r="B60" s="3" t="s">
        <v>22</v>
      </c>
      <c r="C60" s="3" t="s">
        <v>22</v>
      </c>
      <c r="D60" s="2" t="s">
        <v>22</v>
      </c>
      <c r="K60" s="6" t="str">
        <f t="shared" si="22"/>
        <v/>
      </c>
      <c r="O60" s="6" t="str">
        <f t="shared" si="23"/>
        <v/>
      </c>
      <c r="P60" s="35" t="str">
        <f t="shared" si="34"/>
        <v/>
      </c>
      <c r="Q60" s="102" t="str">
        <f t="shared" si="35"/>
        <v/>
      </c>
      <c r="R60" s="102" t="str">
        <f t="shared" ca="1" si="36"/>
        <v/>
      </c>
      <c r="S60" s="112" t="str">
        <f t="shared" si="24"/>
        <v/>
      </c>
      <c r="T60" s="112" t="str">
        <f t="shared" ca="1" si="37"/>
        <v/>
      </c>
      <c r="U60" s="1" t="str">
        <f t="shared" si="25"/>
        <v/>
      </c>
      <c r="V60" s="1" t="str">
        <f t="shared" ca="1" si="38"/>
        <v/>
      </c>
      <c r="W60" s="34" t="str">
        <f t="shared" ca="1" si="26"/>
        <v/>
      </c>
      <c r="Y60" s="2">
        <v>55</v>
      </c>
      <c r="Z60" s="6" t="str">
        <f t="shared" si="27"/>
        <v/>
      </c>
      <c r="AA60" s="139" t="str">
        <f>IF($E$5="Uniform Inputs",IF($Z60&gt;$E$12,"",MIN($E$21,($I$5+'Cash Flows'!$BX$8+INDEX('Cash Flows'!$C$19:$BW$19,1,MATCH(EOMONTH(AB60,MOD(-MONTH(AB60),3)-3),'Cash Flows'!$C$4:$BW$4,0)))/$E$12)),IF(AF60&gt;0,AF60,""))</f>
        <v/>
      </c>
      <c r="AB60" s="112" t="str">
        <f t="shared" si="55"/>
        <v/>
      </c>
      <c r="AC60" s="139" t="str">
        <f>IFERROR(IF($Z60&gt;$E$12,"",IF($E$5="Uniform Inputs",INDEX($D$45:$E$53,MATCH($AA$3,$B$45:$B$53,0),MATCH(AC$4,$D$44:$E$44,0)),IF(AH60=0,"",AH60))),"")</f>
        <v/>
      </c>
      <c r="AD60" s="139" t="str">
        <f>IFERROR(IF($Z60&gt;$E$12,"",IF($E$5="Uniform Inputs",INDEX($D$45:$E$53,MATCH($AA$3,$B$45:$B$53,0),MATCH(AD$4,$D$44:$E$44,0)),IF(AI60=0,"",AI60))),"")</f>
        <v/>
      </c>
      <c r="AE60" s="10" t="str">
        <f t="shared" si="29"/>
        <v/>
      </c>
      <c r="AF60" s="11" t="s">
        <v>22</v>
      </c>
      <c r="AG60" s="168" t="s">
        <v>22</v>
      </c>
      <c r="AH60" s="11" t="s">
        <v>22</v>
      </c>
      <c r="AI60" s="11" t="s">
        <v>22</v>
      </c>
      <c r="AJ60" s="139" t="str">
        <f>IF($E$5="Uniform Inputs",IF($Z60&gt;$E$13,"",IF($E$23="Pro-Rata",MIN(AL60*AE60,(($I$5+'Cash Flows'!$BX$8+INDEX('Cash Flows'!$C$19:$BW$19,1,MATCH(EOMONTH(AK60,MOD(-MONTH(AK60),3)-3),'Cash Flows'!$C$4:$BW$4,0)))-$AA$5)/$E$13),MIN($E$24,(($I$5+'Cash Flows'!$BX$8+INDEX('Cash Flows'!$C$19:$BW$19,1,MATCH(EOMONTH(AK60,MOD(-MONTH(AK60),3)-3),'Cash Flows'!$C$4:$BW$4,0)))-$AA$5)/$E$13))),IF(AO60=0,"",AO60))</f>
        <v/>
      </c>
      <c r="AK60" s="112" t="str">
        <f t="shared" si="39"/>
        <v/>
      </c>
      <c r="AL60" s="139" t="str">
        <f>IFERROR(IF($Z60&gt;$E$12,"",IF($E$5="Uniform Inputs",INDEX($D$45:$E$53,MATCH($AJ$3,$B$45:$B$53,0),MATCH(AL$4,$D$44:$E$44,0)),IF(AQ60=0,"",AQ60))),"")</f>
        <v/>
      </c>
      <c r="AM60" s="139" t="str">
        <f>IFERROR(IF($Z60&gt;$E$12,"",IF($E$5="Uniform Inputs",INDEX($D$45:$E$53,MATCH($AJ$3,$B$45:$B$53,0),MATCH(AM$4,$D$44:$E$44,0)),IF(AR60=0,"",AR60))),"")</f>
        <v/>
      </c>
      <c r="AN60" s="10" t="str">
        <f t="shared" si="40"/>
        <v/>
      </c>
      <c r="AO60" s="11" t="s">
        <v>22</v>
      </c>
      <c r="AP60" s="168" t="s">
        <v>22</v>
      </c>
      <c r="AQ60" s="11" t="s">
        <v>22</v>
      </c>
      <c r="AR60" s="11" t="s">
        <v>22</v>
      </c>
      <c r="AS60" s="139" t="str">
        <f>IF($E$5="Uniform Inputs",IF($Z60&gt;$E$14,"",IF($E$23="Pro-Rata",MIN(AU60*AN60,(($I$5+'Cash Flows'!$BX$8+INDEX('Cash Flows'!$C$19:$BW$19,1,MATCH(EOMONTH(AT60,MOD(-MONTH(AT60),3)-3),'Cash Flows'!$C$4:$BW$4,0)))-SUM($AJ$5,$AA$5))/$E$14),MIN($E$25,(($I$5+'Cash Flows'!$BX$8+INDEX('Cash Flows'!$C$19:$BW$19,1,MATCH(EOMONTH(AT60,MOD(-MONTH(AT60),3)-3),'Cash Flows'!$C$4:$BW$4,0)))-SUM($AJ$5,$AA$5))/$E$14))),IF(AX60=0,"",AX60))</f>
        <v/>
      </c>
      <c r="AT60" s="112" t="str">
        <f t="shared" si="41"/>
        <v/>
      </c>
      <c r="AU60" s="139" t="str">
        <f>IFERROR(IF($Z60&gt;$E$12,"",IF($E$5="Uniform Inputs",INDEX($D$45:$E$53,MATCH($AS$3,$B$45:$B$53,0),MATCH(AU$4,$D$44:$E$44,0)),IF(AZ60=0,"",AZ60))),"")</f>
        <v/>
      </c>
      <c r="AV60" s="139" t="str">
        <f>IFERROR(IF($Z60&gt;$E$12,"",IF($E$5="Uniform Inputs",INDEX($D$45:$E$53,MATCH($AS$3,$B$45:$B$53,0),MATCH(AV$4,$D$44:$E$44,0)),IF(BA60=0,"",BA60))),"")</f>
        <v/>
      </c>
      <c r="AW60" s="10" t="str">
        <f t="shared" si="42"/>
        <v/>
      </c>
      <c r="AX60" s="11" t="s">
        <v>22</v>
      </c>
      <c r="AY60" s="168" t="s">
        <v>22</v>
      </c>
      <c r="AZ60" s="11" t="s">
        <v>22</v>
      </c>
      <c r="BA60" s="11" t="s">
        <v>22</v>
      </c>
      <c r="BB60" s="139" t="str">
        <f>IF($E$5="Uniform Inputs",IF($Z60&gt;$E$15,"",IF($E$23="Pro-Rata",MIN(BD60*AW60,(($I$5+'Cash Flows'!$BX$8+INDEX('Cash Flows'!$C$19:$BW$19,1,MATCH(EOMONTH(BC60,MOD(-MONTH(BC60),3)-3),'Cash Flows'!$C$4:$BW$4,0)))-SUM($AS$5,$AJ$5,$AA$5))/$E$15),MIN($E$26,(($I$5+'Cash Flows'!$BX$8+INDEX('Cash Flows'!$C$19:$BW$19,1,MATCH(EOMONTH(BC60,MOD(-MONTH(BC60),3)-3),'Cash Flows'!$C$4:$BW$4,0)))-SUM($AS$5,$AJ$5,$AA$5))/$E$15))),IF(BG60=0,"",BG60))</f>
        <v/>
      </c>
      <c r="BC60" s="112" t="str">
        <f t="shared" si="43"/>
        <v/>
      </c>
      <c r="BD60" s="139" t="str">
        <f>IFERROR(IF($Z60&gt;$E$12,"",IF($E$5="Uniform Inputs",INDEX($D$45:$E$53,MATCH($BB$3,$B$45:$B$53,0),MATCH(BD$4,$D$44:$E$44,0)),IF(BI60=0,"",BI60))),"")</f>
        <v/>
      </c>
      <c r="BE60" s="139" t="str">
        <f>IFERROR(IF($Z60&gt;$E$12,"",IF($E$5="Uniform Inputs",INDEX($D$45:$E$53,MATCH($BB$3,$B$45:$B$53,0),MATCH(BE$4,$D$44:$E$44,0)),IF(BJ60=0,"",BJ60))),"")</f>
        <v/>
      </c>
      <c r="BF60" s="10" t="str">
        <f t="shared" si="44"/>
        <v/>
      </c>
      <c r="BG60" s="11" t="s">
        <v>22</v>
      </c>
      <c r="BH60" s="168" t="s">
        <v>22</v>
      </c>
      <c r="BI60" s="11" t="s">
        <v>22</v>
      </c>
      <c r="BJ60" s="11" t="s">
        <v>22</v>
      </c>
      <c r="BK60" s="139" t="str">
        <f>IF($E$5="Uniform Inputs",IF($Z60&gt;$E$16,"",IF($E$23="Pro-Rata",MIN(BM60*BF60,(($I$5+'Cash Flows'!$BX$8+INDEX('Cash Flows'!$C$19:$BW$19,1,MATCH(EOMONTH(BL60,MOD(-MONTH(BL60),3)-3),'Cash Flows'!$C$4:$BW$4,0)))-SUM($BB$5,$AS$5,$AJ$5,$AA$5))/$E$16),MIN($E$27,(($I$5+'Cash Flows'!$BX$8+INDEX('Cash Flows'!$C$19:$BW$19,1,MATCH(EOMONTH(BL60,MOD(-MONTH(BL60),3)-3),'Cash Flows'!$C$4:$BW$4,0)))-SUM($BB$5,$AS$5,$AJ$5,$AA$5))/$E$16))),IF(BP60=0,"",BP60))</f>
        <v/>
      </c>
      <c r="BL60" s="112" t="str">
        <f t="shared" si="45"/>
        <v/>
      </c>
      <c r="BM60" s="139" t="str">
        <f>IFERROR(IF($Z60&gt;$E$12,"",IF($E$5="Uniform Inputs",INDEX($D$45:$E$53,MATCH($BK$3,$B$45:$B$53,0),MATCH(BM$4,$D$44:$E$44,0)),IF(BR60=0,"",BR60))),"")</f>
        <v/>
      </c>
      <c r="BN60" s="139" t="str">
        <f>IFERROR(IF($Z60&gt;$E$12,"",IF($E$5="Uniform Inputs",INDEX($D$45:$E$53,MATCH($BK$3,$B$45:$B$53,0),MATCH(BN$4,$D$44:$E$44,0)),IF(BS60=0,"",BS60))),"")</f>
        <v/>
      </c>
      <c r="BO60" s="10" t="str">
        <f t="shared" si="46"/>
        <v/>
      </c>
      <c r="BP60" s="11" t="s">
        <v>22</v>
      </c>
      <c r="BQ60" s="168" t="s">
        <v>22</v>
      </c>
      <c r="BR60" s="11" t="s">
        <v>22</v>
      </c>
      <c r="BS60" s="11" t="s">
        <v>22</v>
      </c>
      <c r="BT60" s="139" t="str">
        <f t="shared" si="30"/>
        <v/>
      </c>
      <c r="BU60" s="112" t="str">
        <f t="shared" si="47"/>
        <v/>
      </c>
      <c r="BV60" s="139" t="str">
        <f>IFERROR(IF($Z60&gt;$E$12,"",IF($E$5="Uniform Inputs",INDEX($D$45:$E$53,MATCH($BT$3,$B$45:$B$53,0),MATCH(BV$4,$D$44:$E$44,0)),IF(CA60=0,"",CA60))),"")</f>
        <v/>
      </c>
      <c r="BW60" s="139" t="str">
        <f>IFERROR(IF($Z60&gt;$E$12,"",IF($E$5="Uniform Inputs",INDEX($D$45:$E$53,MATCH($BT$3,$B$45:$B$53,0),MATCH(BW$4,$D$44:$E$44,0)),IF(CB60=0,"",CB60))),"")</f>
        <v/>
      </c>
      <c r="BX60" s="10" t="str">
        <f t="shared" si="48"/>
        <v/>
      </c>
      <c r="BY60" s="11" t="s">
        <v>22</v>
      </c>
      <c r="BZ60" s="168" t="s">
        <v>22</v>
      </c>
      <c r="CA60" s="11" t="s">
        <v>22</v>
      </c>
      <c r="CB60" s="11" t="s">
        <v>22</v>
      </c>
      <c r="CC60" s="139" t="str">
        <f t="shared" si="31"/>
        <v/>
      </c>
      <c r="CD60" s="112" t="str">
        <f t="shared" si="49"/>
        <v/>
      </c>
      <c r="CE60" s="139" t="str">
        <f>IFERROR(IF($Z60&gt;$E$12,"",IF($E$5="Uniform Inputs",INDEX($D$45:$E$53,MATCH($CC$3,$B$45:$B$53,0),MATCH(CE$4,$D$44:$E$44,0)),IF(CJ60=0,"",CJ60))),"")</f>
        <v/>
      </c>
      <c r="CF60" s="139" t="str">
        <f>IFERROR(IF($Z60&gt;$E$12,"",IF($E$5="Uniform Inputs",INDEX($D$45:$E$53,MATCH($CC$3,$B$45:$B$53,0),MATCH(CF$4,$D$44:$E$44,0)),IF(CK60=0,"",CK60))),"")</f>
        <v/>
      </c>
      <c r="CG60" s="10" t="str">
        <f t="shared" si="50"/>
        <v/>
      </c>
      <c r="CH60" s="11" t="s">
        <v>22</v>
      </c>
      <c r="CI60" s="168" t="s">
        <v>22</v>
      </c>
      <c r="CJ60" s="11" t="s">
        <v>22</v>
      </c>
      <c r="CK60" s="11" t="s">
        <v>22</v>
      </c>
      <c r="CL60" s="139" t="str">
        <f t="shared" si="32"/>
        <v/>
      </c>
      <c r="CM60" s="112" t="str">
        <f t="shared" si="51"/>
        <v/>
      </c>
      <c r="CN60" s="139" t="str">
        <f>IFERROR(IF($Z60&gt;$E$12,"",IF($E$5="Uniform Inputs",INDEX($D$45:$E$53,MATCH($CL$3,$B$45:$B$53,0),MATCH(CN$4,$D$44:$E$44,0)),IF(CS60=0,"",CS60))),"")</f>
        <v/>
      </c>
      <c r="CO60" s="139" t="str">
        <f>IFERROR(IF($Z60&gt;$E$12,"",IF($E$5="Uniform Inputs",INDEX($D$45:$E$53,MATCH($CL$3,$B$45:$B$53,0),MATCH(CO$4,$D$44:$E$44,0)),IF(CT60=0,"",CT60))),"")</f>
        <v/>
      </c>
      <c r="CP60" s="10" t="str">
        <f t="shared" si="52"/>
        <v/>
      </c>
      <c r="CQ60" s="11" t="s">
        <v>22</v>
      </c>
      <c r="CR60" s="168" t="s">
        <v>22</v>
      </c>
      <c r="CS60" s="11" t="s">
        <v>22</v>
      </c>
      <c r="CT60" s="11" t="s">
        <v>22</v>
      </c>
      <c r="CU60" s="139" t="str">
        <f t="shared" si="33"/>
        <v/>
      </c>
      <c r="CV60" s="112" t="str">
        <f t="shared" si="53"/>
        <v/>
      </c>
      <c r="CW60" s="139" t="str">
        <f>IFERROR(IF($Z60&gt;$E$12,"",IF($E$5="Uniform Inputs",INDEX($D$45:$E$53,MATCH($CU$3,$B$45:$B$53,0),MATCH(CW$4,$D$44:$E$44,0)),IF(DB60=0,"",DB60))),"")</f>
        <v/>
      </c>
      <c r="CX60" s="139" t="str">
        <f>IFERROR(IF($Z60&gt;$E$12,"",IF($E$5="Uniform Inputs",INDEX($D$45:$E$53,MATCH($CU$3,$B$45:$B$53,0),MATCH(CX$4,$D$44:$E$44,0)),IF(DC60=0,"",DC60))),"")</f>
        <v/>
      </c>
      <c r="CY60" s="10" t="str">
        <f t="shared" si="54"/>
        <v/>
      </c>
      <c r="CZ60" s="11" t="s">
        <v>22</v>
      </c>
      <c r="DA60" s="168" t="s">
        <v>22</v>
      </c>
      <c r="DB60" s="11" t="s">
        <v>22</v>
      </c>
      <c r="DC60" s="11" t="s">
        <v>22</v>
      </c>
    </row>
    <row r="61" spans="2:107" x14ac:dyDescent="0.25">
      <c r="B61" s="3" t="s">
        <v>22</v>
      </c>
      <c r="C61" s="3" t="s">
        <v>22</v>
      </c>
      <c r="D61" s="2" t="s">
        <v>22</v>
      </c>
      <c r="K61" s="6" t="str">
        <f t="shared" si="22"/>
        <v/>
      </c>
      <c r="O61" s="6" t="str">
        <f t="shared" si="23"/>
        <v/>
      </c>
      <c r="P61" s="35" t="str">
        <f t="shared" si="34"/>
        <v/>
      </c>
      <c r="Q61" s="102" t="str">
        <f t="shared" si="35"/>
        <v/>
      </c>
      <c r="R61" s="102" t="str">
        <f t="shared" ca="1" si="36"/>
        <v/>
      </c>
      <c r="S61" s="112" t="str">
        <f t="shared" si="24"/>
        <v/>
      </c>
      <c r="T61" s="112" t="str">
        <f t="shared" ca="1" si="37"/>
        <v/>
      </c>
      <c r="U61" s="1" t="str">
        <f t="shared" si="25"/>
        <v/>
      </c>
      <c r="V61" s="1" t="str">
        <f t="shared" ca="1" si="38"/>
        <v/>
      </c>
      <c r="W61" s="34" t="str">
        <f t="shared" ca="1" si="26"/>
        <v/>
      </c>
      <c r="Y61" s="2">
        <v>56</v>
      </c>
      <c r="Z61" s="6" t="str">
        <f t="shared" si="27"/>
        <v/>
      </c>
      <c r="AA61" s="139" t="str">
        <f>IF($E$5="Uniform Inputs",IF($Z61&gt;$E$12,"",MIN($E$21,($I$5+'Cash Flows'!$BX$8+INDEX('Cash Flows'!$C$19:$BW$19,1,MATCH(EOMONTH(AB61,MOD(-MONTH(AB61),3)-3),'Cash Flows'!$C$4:$BW$4,0)))/$E$12)),IF(AF61&gt;0,AF61,""))</f>
        <v/>
      </c>
      <c r="AB61" s="112" t="str">
        <f t="shared" si="55"/>
        <v/>
      </c>
      <c r="AC61" s="139" t="str">
        <f>IFERROR(IF($Z61&gt;$E$12,"",IF($E$5="Uniform Inputs",INDEX($D$45:$E$53,MATCH($AA$3,$B$45:$B$53,0),MATCH(AC$4,$D$44:$E$44,0)),IF(AH61=0,"",AH61))),"")</f>
        <v/>
      </c>
      <c r="AD61" s="139" t="str">
        <f>IFERROR(IF($Z61&gt;$E$12,"",IF($E$5="Uniform Inputs",INDEX($D$45:$E$53,MATCH($AA$3,$B$45:$B$53,0),MATCH(AD$4,$D$44:$E$44,0)),IF(AI61=0,"",AI61))),"")</f>
        <v/>
      </c>
      <c r="AE61" s="10" t="str">
        <f t="shared" si="29"/>
        <v/>
      </c>
      <c r="AF61" s="11" t="s">
        <v>22</v>
      </c>
      <c r="AG61" s="168" t="s">
        <v>22</v>
      </c>
      <c r="AH61" s="11" t="s">
        <v>22</v>
      </c>
      <c r="AI61" s="11" t="s">
        <v>22</v>
      </c>
      <c r="AJ61" s="139" t="str">
        <f>IF($E$5="Uniform Inputs",IF($Z61&gt;$E$13,"",IF($E$23="Pro-Rata",MIN(AL61*AE61,(($I$5+'Cash Flows'!$BX$8+INDEX('Cash Flows'!$C$19:$BW$19,1,MATCH(EOMONTH(AK61,MOD(-MONTH(AK61),3)-3),'Cash Flows'!$C$4:$BW$4,0)))-$AA$5)/$E$13),MIN($E$24,(($I$5+'Cash Flows'!$BX$8+INDEX('Cash Flows'!$C$19:$BW$19,1,MATCH(EOMONTH(AK61,MOD(-MONTH(AK61),3)-3),'Cash Flows'!$C$4:$BW$4,0)))-$AA$5)/$E$13))),IF(AO61=0,"",AO61))</f>
        <v/>
      </c>
      <c r="AK61" s="112" t="str">
        <f t="shared" si="39"/>
        <v/>
      </c>
      <c r="AL61" s="139" t="str">
        <f>IFERROR(IF($Z61&gt;$E$12,"",IF($E$5="Uniform Inputs",INDEX($D$45:$E$53,MATCH($AJ$3,$B$45:$B$53,0),MATCH(AL$4,$D$44:$E$44,0)),IF(AQ61=0,"",AQ61))),"")</f>
        <v/>
      </c>
      <c r="AM61" s="139" t="str">
        <f>IFERROR(IF($Z61&gt;$E$12,"",IF($E$5="Uniform Inputs",INDEX($D$45:$E$53,MATCH($AJ$3,$B$45:$B$53,0),MATCH(AM$4,$D$44:$E$44,0)),IF(AR61=0,"",AR61))),"")</f>
        <v/>
      </c>
      <c r="AN61" s="10" t="str">
        <f t="shared" si="40"/>
        <v/>
      </c>
      <c r="AO61" s="11" t="s">
        <v>22</v>
      </c>
      <c r="AP61" s="168" t="s">
        <v>22</v>
      </c>
      <c r="AQ61" s="11" t="s">
        <v>22</v>
      </c>
      <c r="AR61" s="11" t="s">
        <v>22</v>
      </c>
      <c r="AS61" s="139" t="str">
        <f>IF($E$5="Uniform Inputs",IF($Z61&gt;$E$14,"",IF($E$23="Pro-Rata",MIN(AU61*AN61,(($I$5+'Cash Flows'!$BX$8+INDEX('Cash Flows'!$C$19:$BW$19,1,MATCH(EOMONTH(AT61,MOD(-MONTH(AT61),3)-3),'Cash Flows'!$C$4:$BW$4,0)))-SUM($AJ$5,$AA$5))/$E$14),MIN($E$25,(($I$5+'Cash Flows'!$BX$8+INDEX('Cash Flows'!$C$19:$BW$19,1,MATCH(EOMONTH(AT61,MOD(-MONTH(AT61),3)-3),'Cash Flows'!$C$4:$BW$4,0)))-SUM($AJ$5,$AA$5))/$E$14))),IF(AX61=0,"",AX61))</f>
        <v/>
      </c>
      <c r="AT61" s="112" t="str">
        <f t="shared" si="41"/>
        <v/>
      </c>
      <c r="AU61" s="139" t="str">
        <f>IFERROR(IF($Z61&gt;$E$12,"",IF($E$5="Uniform Inputs",INDEX($D$45:$E$53,MATCH($AS$3,$B$45:$B$53,0),MATCH(AU$4,$D$44:$E$44,0)),IF(AZ61=0,"",AZ61))),"")</f>
        <v/>
      </c>
      <c r="AV61" s="139" t="str">
        <f>IFERROR(IF($Z61&gt;$E$12,"",IF($E$5="Uniform Inputs",INDEX($D$45:$E$53,MATCH($AS$3,$B$45:$B$53,0),MATCH(AV$4,$D$44:$E$44,0)),IF(BA61=0,"",BA61))),"")</f>
        <v/>
      </c>
      <c r="AW61" s="10" t="str">
        <f t="shared" si="42"/>
        <v/>
      </c>
      <c r="AX61" s="11" t="s">
        <v>22</v>
      </c>
      <c r="AY61" s="168" t="s">
        <v>22</v>
      </c>
      <c r="AZ61" s="11" t="s">
        <v>22</v>
      </c>
      <c r="BA61" s="11" t="s">
        <v>22</v>
      </c>
      <c r="BB61" s="139" t="str">
        <f>IF($E$5="Uniform Inputs",IF($Z61&gt;$E$15,"",IF($E$23="Pro-Rata",MIN(BD61*AW61,(($I$5+'Cash Flows'!$BX$8+INDEX('Cash Flows'!$C$19:$BW$19,1,MATCH(EOMONTH(BC61,MOD(-MONTH(BC61),3)-3),'Cash Flows'!$C$4:$BW$4,0)))-SUM($AS$5,$AJ$5,$AA$5))/$E$15),MIN($E$26,(($I$5+'Cash Flows'!$BX$8+INDEX('Cash Flows'!$C$19:$BW$19,1,MATCH(EOMONTH(BC61,MOD(-MONTH(BC61),3)-3),'Cash Flows'!$C$4:$BW$4,0)))-SUM($AS$5,$AJ$5,$AA$5))/$E$15))),IF(BG61=0,"",BG61))</f>
        <v/>
      </c>
      <c r="BC61" s="112" t="str">
        <f t="shared" si="43"/>
        <v/>
      </c>
      <c r="BD61" s="139" t="str">
        <f>IFERROR(IF($Z61&gt;$E$12,"",IF($E$5="Uniform Inputs",INDEX($D$45:$E$53,MATCH($BB$3,$B$45:$B$53,0),MATCH(BD$4,$D$44:$E$44,0)),IF(BI61=0,"",BI61))),"")</f>
        <v/>
      </c>
      <c r="BE61" s="139" t="str">
        <f>IFERROR(IF($Z61&gt;$E$12,"",IF($E$5="Uniform Inputs",INDEX($D$45:$E$53,MATCH($BB$3,$B$45:$B$53,0),MATCH(BE$4,$D$44:$E$44,0)),IF(BJ61=0,"",BJ61))),"")</f>
        <v/>
      </c>
      <c r="BF61" s="10" t="str">
        <f t="shared" si="44"/>
        <v/>
      </c>
      <c r="BG61" s="11" t="s">
        <v>22</v>
      </c>
      <c r="BH61" s="168" t="s">
        <v>22</v>
      </c>
      <c r="BI61" s="11" t="s">
        <v>22</v>
      </c>
      <c r="BJ61" s="11" t="s">
        <v>22</v>
      </c>
      <c r="BK61" s="139" t="str">
        <f>IF($E$5="Uniform Inputs",IF($Z61&gt;$E$16,"",IF($E$23="Pro-Rata",MIN(BM61*BF61,(($I$5+'Cash Flows'!$BX$8+INDEX('Cash Flows'!$C$19:$BW$19,1,MATCH(EOMONTH(BL61,MOD(-MONTH(BL61),3)-3),'Cash Flows'!$C$4:$BW$4,0)))-SUM($BB$5,$AS$5,$AJ$5,$AA$5))/$E$16),MIN($E$27,(($I$5+'Cash Flows'!$BX$8+INDEX('Cash Flows'!$C$19:$BW$19,1,MATCH(EOMONTH(BL61,MOD(-MONTH(BL61),3)-3),'Cash Flows'!$C$4:$BW$4,0)))-SUM($BB$5,$AS$5,$AJ$5,$AA$5))/$E$16))),IF(BP61=0,"",BP61))</f>
        <v/>
      </c>
      <c r="BL61" s="112" t="str">
        <f t="shared" si="45"/>
        <v/>
      </c>
      <c r="BM61" s="139" t="str">
        <f>IFERROR(IF($Z61&gt;$E$12,"",IF($E$5="Uniform Inputs",INDEX($D$45:$E$53,MATCH($BK$3,$B$45:$B$53,0),MATCH(BM$4,$D$44:$E$44,0)),IF(BR61=0,"",BR61))),"")</f>
        <v/>
      </c>
      <c r="BN61" s="139" t="str">
        <f>IFERROR(IF($Z61&gt;$E$12,"",IF($E$5="Uniform Inputs",INDEX($D$45:$E$53,MATCH($BK$3,$B$45:$B$53,0),MATCH(BN$4,$D$44:$E$44,0)),IF(BS61=0,"",BS61))),"")</f>
        <v/>
      </c>
      <c r="BO61" s="10" t="str">
        <f t="shared" si="46"/>
        <v/>
      </c>
      <c r="BP61" s="11" t="s">
        <v>22</v>
      </c>
      <c r="BQ61" s="168" t="s">
        <v>22</v>
      </c>
      <c r="BR61" s="11" t="s">
        <v>22</v>
      </c>
      <c r="BS61" s="11" t="s">
        <v>22</v>
      </c>
      <c r="BT61" s="139" t="str">
        <f t="shared" si="30"/>
        <v/>
      </c>
      <c r="BU61" s="112" t="str">
        <f t="shared" si="47"/>
        <v/>
      </c>
      <c r="BV61" s="139" t="str">
        <f>IFERROR(IF($Z61&gt;$E$12,"",IF($E$5="Uniform Inputs",INDEX($D$45:$E$53,MATCH($BT$3,$B$45:$B$53,0),MATCH(BV$4,$D$44:$E$44,0)),IF(CA61=0,"",CA61))),"")</f>
        <v/>
      </c>
      <c r="BW61" s="139" t="str">
        <f>IFERROR(IF($Z61&gt;$E$12,"",IF($E$5="Uniform Inputs",INDEX($D$45:$E$53,MATCH($BT$3,$B$45:$B$53,0),MATCH(BW$4,$D$44:$E$44,0)),IF(CB61=0,"",CB61))),"")</f>
        <v/>
      </c>
      <c r="BX61" s="10" t="str">
        <f t="shared" si="48"/>
        <v/>
      </c>
      <c r="BY61" s="11" t="s">
        <v>22</v>
      </c>
      <c r="BZ61" s="168" t="s">
        <v>22</v>
      </c>
      <c r="CA61" s="11" t="s">
        <v>22</v>
      </c>
      <c r="CB61" s="11" t="s">
        <v>22</v>
      </c>
      <c r="CC61" s="139" t="str">
        <f t="shared" si="31"/>
        <v/>
      </c>
      <c r="CD61" s="112" t="str">
        <f t="shared" si="49"/>
        <v/>
      </c>
      <c r="CE61" s="139" t="str">
        <f>IFERROR(IF($Z61&gt;$E$12,"",IF($E$5="Uniform Inputs",INDEX($D$45:$E$53,MATCH($CC$3,$B$45:$B$53,0),MATCH(CE$4,$D$44:$E$44,0)),IF(CJ61=0,"",CJ61))),"")</f>
        <v/>
      </c>
      <c r="CF61" s="139" t="str">
        <f>IFERROR(IF($Z61&gt;$E$12,"",IF($E$5="Uniform Inputs",INDEX($D$45:$E$53,MATCH($CC$3,$B$45:$B$53,0),MATCH(CF$4,$D$44:$E$44,0)),IF(CK61=0,"",CK61))),"")</f>
        <v/>
      </c>
      <c r="CG61" s="10" t="str">
        <f t="shared" si="50"/>
        <v/>
      </c>
      <c r="CH61" s="11" t="s">
        <v>22</v>
      </c>
      <c r="CI61" s="168" t="s">
        <v>22</v>
      </c>
      <c r="CJ61" s="11" t="s">
        <v>22</v>
      </c>
      <c r="CK61" s="11" t="s">
        <v>22</v>
      </c>
      <c r="CL61" s="139" t="str">
        <f t="shared" si="32"/>
        <v/>
      </c>
      <c r="CM61" s="112" t="str">
        <f t="shared" si="51"/>
        <v/>
      </c>
      <c r="CN61" s="139" t="str">
        <f>IFERROR(IF($Z61&gt;$E$12,"",IF($E$5="Uniform Inputs",INDEX($D$45:$E$53,MATCH($CL$3,$B$45:$B$53,0),MATCH(CN$4,$D$44:$E$44,0)),IF(CS61=0,"",CS61))),"")</f>
        <v/>
      </c>
      <c r="CO61" s="139" t="str">
        <f>IFERROR(IF($Z61&gt;$E$12,"",IF($E$5="Uniform Inputs",INDEX($D$45:$E$53,MATCH($CL$3,$B$45:$B$53,0),MATCH(CO$4,$D$44:$E$44,0)),IF(CT61=0,"",CT61))),"")</f>
        <v/>
      </c>
      <c r="CP61" s="10" t="str">
        <f t="shared" si="52"/>
        <v/>
      </c>
      <c r="CQ61" s="11" t="s">
        <v>22</v>
      </c>
      <c r="CR61" s="168" t="s">
        <v>22</v>
      </c>
      <c r="CS61" s="11" t="s">
        <v>22</v>
      </c>
      <c r="CT61" s="11" t="s">
        <v>22</v>
      </c>
      <c r="CU61" s="139" t="str">
        <f t="shared" si="33"/>
        <v/>
      </c>
      <c r="CV61" s="112" t="str">
        <f t="shared" si="53"/>
        <v/>
      </c>
      <c r="CW61" s="139" t="str">
        <f>IFERROR(IF($Z61&gt;$E$12,"",IF($E$5="Uniform Inputs",INDEX($D$45:$E$53,MATCH($CU$3,$B$45:$B$53,0),MATCH(CW$4,$D$44:$E$44,0)),IF(DB61=0,"",DB61))),"")</f>
        <v/>
      </c>
      <c r="CX61" s="139" t="str">
        <f>IFERROR(IF($Z61&gt;$E$12,"",IF($E$5="Uniform Inputs",INDEX($D$45:$E$53,MATCH($CU$3,$B$45:$B$53,0),MATCH(CX$4,$D$44:$E$44,0)),IF(DC61=0,"",DC61))),"")</f>
        <v/>
      </c>
      <c r="CY61" s="10" t="str">
        <f t="shared" si="54"/>
        <v/>
      </c>
      <c r="CZ61" s="11" t="s">
        <v>22</v>
      </c>
      <c r="DA61" s="168" t="s">
        <v>22</v>
      </c>
      <c r="DB61" s="11" t="s">
        <v>22</v>
      </c>
      <c r="DC61" s="11" t="s">
        <v>22</v>
      </c>
    </row>
    <row r="62" spans="2:107" x14ac:dyDescent="0.25">
      <c r="B62" s="3" t="s">
        <v>22</v>
      </c>
      <c r="C62" s="3" t="s">
        <v>22</v>
      </c>
      <c r="D62" s="2" t="s">
        <v>22</v>
      </c>
      <c r="K62" s="6" t="str">
        <f t="shared" si="22"/>
        <v/>
      </c>
      <c r="O62" s="6" t="str">
        <f t="shared" si="23"/>
        <v/>
      </c>
      <c r="P62" s="35" t="str">
        <f t="shared" si="34"/>
        <v/>
      </c>
      <c r="Q62" s="102" t="str">
        <f t="shared" si="35"/>
        <v/>
      </c>
      <c r="R62" s="102" t="str">
        <f t="shared" ca="1" si="36"/>
        <v/>
      </c>
      <c r="S62" s="112" t="str">
        <f t="shared" si="24"/>
        <v/>
      </c>
      <c r="T62" s="112" t="str">
        <f t="shared" ca="1" si="37"/>
        <v/>
      </c>
      <c r="U62" s="1" t="str">
        <f t="shared" si="25"/>
        <v/>
      </c>
      <c r="V62" s="1" t="str">
        <f t="shared" ca="1" si="38"/>
        <v/>
      </c>
      <c r="W62" s="34" t="str">
        <f t="shared" ca="1" si="26"/>
        <v/>
      </c>
      <c r="Y62" s="2">
        <v>57</v>
      </c>
      <c r="Z62" s="6" t="str">
        <f t="shared" si="27"/>
        <v/>
      </c>
      <c r="AA62" s="139" t="str">
        <f>IF($E$5="Uniform Inputs",IF($Z62&gt;$E$12,"",MIN($E$21,($I$5+'Cash Flows'!$BX$8+INDEX('Cash Flows'!$C$19:$BW$19,1,MATCH(EOMONTH(AB62,MOD(-MONTH(AB62),3)-3),'Cash Flows'!$C$4:$BW$4,0)))/$E$12)),IF(AF62&gt;0,AF62,""))</f>
        <v/>
      </c>
      <c r="AB62" s="112" t="str">
        <f t="shared" si="55"/>
        <v/>
      </c>
      <c r="AC62" s="139" t="str">
        <f>IFERROR(IF($Z62&gt;$E$12,"",IF($E$5="Uniform Inputs",INDEX($D$45:$E$53,MATCH($AA$3,$B$45:$B$53,0),MATCH(AC$4,$D$44:$E$44,0)),IF(AH62=0,"",AH62))),"")</f>
        <v/>
      </c>
      <c r="AD62" s="139" t="str">
        <f>IFERROR(IF($Z62&gt;$E$12,"",IF($E$5="Uniform Inputs",INDEX($D$45:$E$53,MATCH($AA$3,$B$45:$B$53,0),MATCH(AD$4,$D$44:$E$44,0)),IF(AI62=0,"",AI62))),"")</f>
        <v/>
      </c>
      <c r="AE62" s="10" t="str">
        <f t="shared" si="29"/>
        <v/>
      </c>
      <c r="AF62" s="11" t="s">
        <v>22</v>
      </c>
      <c r="AG62" s="168" t="s">
        <v>22</v>
      </c>
      <c r="AH62" s="11" t="s">
        <v>22</v>
      </c>
      <c r="AI62" s="11" t="s">
        <v>22</v>
      </c>
      <c r="AJ62" s="139" t="str">
        <f>IF($E$5="Uniform Inputs",IF($Z62&gt;$E$13,"",IF($E$23="Pro-Rata",MIN(AL62*AE62,(($I$5+'Cash Flows'!$BX$8+INDEX('Cash Flows'!$C$19:$BW$19,1,MATCH(EOMONTH(AK62,MOD(-MONTH(AK62),3)-3),'Cash Flows'!$C$4:$BW$4,0)))-$AA$5)/$E$13),MIN($E$24,(($I$5+'Cash Flows'!$BX$8+INDEX('Cash Flows'!$C$19:$BW$19,1,MATCH(EOMONTH(AK62,MOD(-MONTH(AK62),3)-3),'Cash Flows'!$C$4:$BW$4,0)))-$AA$5)/$E$13))),IF(AO62=0,"",AO62))</f>
        <v/>
      </c>
      <c r="AK62" s="112" t="str">
        <f t="shared" si="39"/>
        <v/>
      </c>
      <c r="AL62" s="139" t="str">
        <f>IFERROR(IF($Z62&gt;$E$12,"",IF($E$5="Uniform Inputs",INDEX($D$45:$E$53,MATCH($AJ$3,$B$45:$B$53,0),MATCH(AL$4,$D$44:$E$44,0)),IF(AQ62=0,"",AQ62))),"")</f>
        <v/>
      </c>
      <c r="AM62" s="139" t="str">
        <f>IFERROR(IF($Z62&gt;$E$12,"",IF($E$5="Uniform Inputs",INDEX($D$45:$E$53,MATCH($AJ$3,$B$45:$B$53,0),MATCH(AM$4,$D$44:$E$44,0)),IF(AR62=0,"",AR62))),"")</f>
        <v/>
      </c>
      <c r="AN62" s="10" t="str">
        <f t="shared" si="40"/>
        <v/>
      </c>
      <c r="AO62" s="11" t="s">
        <v>22</v>
      </c>
      <c r="AP62" s="168" t="s">
        <v>22</v>
      </c>
      <c r="AQ62" s="11" t="s">
        <v>22</v>
      </c>
      <c r="AR62" s="11" t="s">
        <v>22</v>
      </c>
      <c r="AS62" s="139" t="str">
        <f>IF($E$5="Uniform Inputs",IF($Z62&gt;$E$14,"",IF($E$23="Pro-Rata",MIN(AU62*AN62,(($I$5+'Cash Flows'!$BX$8+INDEX('Cash Flows'!$C$19:$BW$19,1,MATCH(EOMONTH(AT62,MOD(-MONTH(AT62),3)-3),'Cash Flows'!$C$4:$BW$4,0)))-SUM($AJ$5,$AA$5))/$E$14),MIN($E$25,(($I$5+'Cash Flows'!$BX$8+INDEX('Cash Flows'!$C$19:$BW$19,1,MATCH(EOMONTH(AT62,MOD(-MONTH(AT62),3)-3),'Cash Flows'!$C$4:$BW$4,0)))-SUM($AJ$5,$AA$5))/$E$14))),IF(AX62=0,"",AX62))</f>
        <v/>
      </c>
      <c r="AT62" s="112" t="str">
        <f t="shared" si="41"/>
        <v/>
      </c>
      <c r="AU62" s="139" t="str">
        <f>IFERROR(IF($Z62&gt;$E$12,"",IF($E$5="Uniform Inputs",INDEX($D$45:$E$53,MATCH($AS$3,$B$45:$B$53,0),MATCH(AU$4,$D$44:$E$44,0)),IF(AZ62=0,"",AZ62))),"")</f>
        <v/>
      </c>
      <c r="AV62" s="139" t="str">
        <f>IFERROR(IF($Z62&gt;$E$12,"",IF($E$5="Uniform Inputs",INDEX($D$45:$E$53,MATCH($AS$3,$B$45:$B$53,0),MATCH(AV$4,$D$44:$E$44,0)),IF(BA62=0,"",BA62))),"")</f>
        <v/>
      </c>
      <c r="AW62" s="10" t="str">
        <f t="shared" si="42"/>
        <v/>
      </c>
      <c r="AX62" s="11" t="s">
        <v>22</v>
      </c>
      <c r="AY62" s="168" t="s">
        <v>22</v>
      </c>
      <c r="AZ62" s="11" t="s">
        <v>22</v>
      </c>
      <c r="BA62" s="11" t="s">
        <v>22</v>
      </c>
      <c r="BB62" s="139" t="str">
        <f>IF($E$5="Uniform Inputs",IF($Z62&gt;$E$15,"",IF($E$23="Pro-Rata",MIN(BD62*AW62,(($I$5+'Cash Flows'!$BX$8+INDEX('Cash Flows'!$C$19:$BW$19,1,MATCH(EOMONTH(BC62,MOD(-MONTH(BC62),3)-3),'Cash Flows'!$C$4:$BW$4,0)))-SUM($AS$5,$AJ$5,$AA$5))/$E$15),MIN($E$26,(($I$5+'Cash Flows'!$BX$8+INDEX('Cash Flows'!$C$19:$BW$19,1,MATCH(EOMONTH(BC62,MOD(-MONTH(BC62),3)-3),'Cash Flows'!$C$4:$BW$4,0)))-SUM($AS$5,$AJ$5,$AA$5))/$E$15))),IF(BG62=0,"",BG62))</f>
        <v/>
      </c>
      <c r="BC62" s="112" t="str">
        <f t="shared" si="43"/>
        <v/>
      </c>
      <c r="BD62" s="139" t="str">
        <f>IFERROR(IF($Z62&gt;$E$12,"",IF($E$5="Uniform Inputs",INDEX($D$45:$E$53,MATCH($BB$3,$B$45:$B$53,0),MATCH(BD$4,$D$44:$E$44,0)),IF(BI62=0,"",BI62))),"")</f>
        <v/>
      </c>
      <c r="BE62" s="139" t="str">
        <f>IFERROR(IF($Z62&gt;$E$12,"",IF($E$5="Uniform Inputs",INDEX($D$45:$E$53,MATCH($BB$3,$B$45:$B$53,0),MATCH(BE$4,$D$44:$E$44,0)),IF(BJ62=0,"",BJ62))),"")</f>
        <v/>
      </c>
      <c r="BF62" s="10" t="str">
        <f t="shared" si="44"/>
        <v/>
      </c>
      <c r="BG62" s="11" t="s">
        <v>22</v>
      </c>
      <c r="BH62" s="168" t="s">
        <v>22</v>
      </c>
      <c r="BI62" s="11" t="s">
        <v>22</v>
      </c>
      <c r="BJ62" s="11" t="s">
        <v>22</v>
      </c>
      <c r="BK62" s="139" t="str">
        <f>IF($E$5="Uniform Inputs",IF($Z62&gt;$E$16,"",IF($E$23="Pro-Rata",MIN(BM62*BF62,(($I$5+'Cash Flows'!$BX$8+INDEX('Cash Flows'!$C$19:$BW$19,1,MATCH(EOMONTH(BL62,MOD(-MONTH(BL62),3)-3),'Cash Flows'!$C$4:$BW$4,0)))-SUM($BB$5,$AS$5,$AJ$5,$AA$5))/$E$16),MIN($E$27,(($I$5+'Cash Flows'!$BX$8+INDEX('Cash Flows'!$C$19:$BW$19,1,MATCH(EOMONTH(BL62,MOD(-MONTH(BL62),3)-3),'Cash Flows'!$C$4:$BW$4,0)))-SUM($BB$5,$AS$5,$AJ$5,$AA$5))/$E$16))),IF(BP62=0,"",BP62))</f>
        <v/>
      </c>
      <c r="BL62" s="112" t="str">
        <f t="shared" si="45"/>
        <v/>
      </c>
      <c r="BM62" s="139" t="str">
        <f>IFERROR(IF($Z62&gt;$E$12,"",IF($E$5="Uniform Inputs",INDEX($D$45:$E$53,MATCH($BK$3,$B$45:$B$53,0),MATCH(BM$4,$D$44:$E$44,0)),IF(BR62=0,"",BR62))),"")</f>
        <v/>
      </c>
      <c r="BN62" s="139" t="str">
        <f>IFERROR(IF($Z62&gt;$E$12,"",IF($E$5="Uniform Inputs",INDEX($D$45:$E$53,MATCH($BK$3,$B$45:$B$53,0),MATCH(BN$4,$D$44:$E$44,0)),IF(BS62=0,"",BS62))),"")</f>
        <v/>
      </c>
      <c r="BO62" s="10" t="str">
        <f t="shared" si="46"/>
        <v/>
      </c>
      <c r="BP62" s="11" t="s">
        <v>22</v>
      </c>
      <c r="BQ62" s="168" t="s">
        <v>22</v>
      </c>
      <c r="BR62" s="11" t="s">
        <v>22</v>
      </c>
      <c r="BS62" s="11" t="s">
        <v>22</v>
      </c>
      <c r="BT62" s="139" t="str">
        <f t="shared" si="30"/>
        <v/>
      </c>
      <c r="BU62" s="112" t="str">
        <f t="shared" si="47"/>
        <v/>
      </c>
      <c r="BV62" s="139" t="str">
        <f>IFERROR(IF($Z62&gt;$E$12,"",IF($E$5="Uniform Inputs",INDEX($D$45:$E$53,MATCH($BT$3,$B$45:$B$53,0),MATCH(BV$4,$D$44:$E$44,0)),IF(CA62=0,"",CA62))),"")</f>
        <v/>
      </c>
      <c r="BW62" s="139" t="str">
        <f>IFERROR(IF($Z62&gt;$E$12,"",IF($E$5="Uniform Inputs",INDEX($D$45:$E$53,MATCH($BT$3,$B$45:$B$53,0),MATCH(BW$4,$D$44:$E$44,0)),IF(CB62=0,"",CB62))),"")</f>
        <v/>
      </c>
      <c r="BX62" s="10" t="str">
        <f t="shared" si="48"/>
        <v/>
      </c>
      <c r="BY62" s="11" t="s">
        <v>22</v>
      </c>
      <c r="BZ62" s="168" t="s">
        <v>22</v>
      </c>
      <c r="CA62" s="11" t="s">
        <v>22</v>
      </c>
      <c r="CB62" s="11" t="s">
        <v>22</v>
      </c>
      <c r="CC62" s="139" t="str">
        <f t="shared" si="31"/>
        <v/>
      </c>
      <c r="CD62" s="112" t="str">
        <f t="shared" si="49"/>
        <v/>
      </c>
      <c r="CE62" s="139" t="str">
        <f>IFERROR(IF($Z62&gt;$E$12,"",IF($E$5="Uniform Inputs",INDEX($D$45:$E$53,MATCH($CC$3,$B$45:$B$53,0),MATCH(CE$4,$D$44:$E$44,0)),IF(CJ62=0,"",CJ62))),"")</f>
        <v/>
      </c>
      <c r="CF62" s="139" t="str">
        <f>IFERROR(IF($Z62&gt;$E$12,"",IF($E$5="Uniform Inputs",INDEX($D$45:$E$53,MATCH($CC$3,$B$45:$B$53,0),MATCH(CF$4,$D$44:$E$44,0)),IF(CK62=0,"",CK62))),"")</f>
        <v/>
      </c>
      <c r="CG62" s="10" t="str">
        <f t="shared" si="50"/>
        <v/>
      </c>
      <c r="CH62" s="11" t="s">
        <v>22</v>
      </c>
      <c r="CI62" s="168" t="s">
        <v>22</v>
      </c>
      <c r="CJ62" s="11" t="s">
        <v>22</v>
      </c>
      <c r="CK62" s="11" t="s">
        <v>22</v>
      </c>
      <c r="CL62" s="139" t="str">
        <f t="shared" si="32"/>
        <v/>
      </c>
      <c r="CM62" s="112" t="str">
        <f t="shared" si="51"/>
        <v/>
      </c>
      <c r="CN62" s="139" t="str">
        <f>IFERROR(IF($Z62&gt;$E$12,"",IF($E$5="Uniform Inputs",INDEX($D$45:$E$53,MATCH($CL$3,$B$45:$B$53,0),MATCH(CN$4,$D$44:$E$44,0)),IF(CS62=0,"",CS62))),"")</f>
        <v/>
      </c>
      <c r="CO62" s="139" t="str">
        <f>IFERROR(IF($Z62&gt;$E$12,"",IF($E$5="Uniform Inputs",INDEX($D$45:$E$53,MATCH($CL$3,$B$45:$B$53,0),MATCH(CO$4,$D$44:$E$44,0)),IF(CT62=0,"",CT62))),"")</f>
        <v/>
      </c>
      <c r="CP62" s="10" t="str">
        <f t="shared" si="52"/>
        <v/>
      </c>
      <c r="CQ62" s="11" t="s">
        <v>22</v>
      </c>
      <c r="CR62" s="168" t="s">
        <v>22</v>
      </c>
      <c r="CS62" s="11" t="s">
        <v>22</v>
      </c>
      <c r="CT62" s="11" t="s">
        <v>22</v>
      </c>
      <c r="CU62" s="139" t="str">
        <f t="shared" si="33"/>
        <v/>
      </c>
      <c r="CV62" s="112" t="str">
        <f t="shared" si="53"/>
        <v/>
      </c>
      <c r="CW62" s="139" t="str">
        <f>IFERROR(IF($Z62&gt;$E$12,"",IF($E$5="Uniform Inputs",INDEX($D$45:$E$53,MATCH($CU$3,$B$45:$B$53,0),MATCH(CW$4,$D$44:$E$44,0)),IF(DB62=0,"",DB62))),"")</f>
        <v/>
      </c>
      <c r="CX62" s="139" t="str">
        <f>IFERROR(IF($Z62&gt;$E$12,"",IF($E$5="Uniform Inputs",INDEX($D$45:$E$53,MATCH($CU$3,$B$45:$B$53,0),MATCH(CX$4,$D$44:$E$44,0)),IF(DC62=0,"",DC62))),"")</f>
        <v/>
      </c>
      <c r="CY62" s="10" t="str">
        <f t="shared" si="54"/>
        <v/>
      </c>
      <c r="CZ62" s="11" t="s">
        <v>22</v>
      </c>
      <c r="DA62" s="168" t="s">
        <v>22</v>
      </c>
      <c r="DB62" s="11" t="s">
        <v>22</v>
      </c>
      <c r="DC62" s="11" t="s">
        <v>22</v>
      </c>
    </row>
    <row r="63" spans="2:107" x14ac:dyDescent="0.25">
      <c r="B63" s="3" t="s">
        <v>22</v>
      </c>
      <c r="C63" s="3" t="s">
        <v>22</v>
      </c>
      <c r="D63" s="2" t="s">
        <v>22</v>
      </c>
      <c r="K63" s="6" t="str">
        <f t="shared" si="22"/>
        <v/>
      </c>
      <c r="O63" s="6" t="str">
        <f t="shared" si="23"/>
        <v/>
      </c>
      <c r="P63" s="35" t="str">
        <f t="shared" si="34"/>
        <v/>
      </c>
      <c r="Q63" s="102" t="str">
        <f t="shared" si="35"/>
        <v/>
      </c>
      <c r="R63" s="102" t="str">
        <f t="shared" ca="1" si="36"/>
        <v/>
      </c>
      <c r="S63" s="112" t="str">
        <f t="shared" si="24"/>
        <v/>
      </c>
      <c r="T63" s="112" t="str">
        <f t="shared" ca="1" si="37"/>
        <v/>
      </c>
      <c r="U63" s="1" t="str">
        <f t="shared" si="25"/>
        <v/>
      </c>
      <c r="V63" s="1" t="str">
        <f t="shared" ca="1" si="38"/>
        <v/>
      </c>
      <c r="W63" s="34" t="str">
        <f t="shared" ca="1" si="26"/>
        <v/>
      </c>
      <c r="Y63" s="2">
        <v>58</v>
      </c>
      <c r="Z63" s="6" t="str">
        <f t="shared" si="27"/>
        <v/>
      </c>
      <c r="AA63" s="139" t="str">
        <f>IF($E$5="Uniform Inputs",IF($Z63&gt;$E$12,"",MIN($E$21,($I$5+'Cash Flows'!$BX$8+INDEX('Cash Flows'!$C$19:$BW$19,1,MATCH(EOMONTH(AB63,MOD(-MONTH(AB63),3)-3),'Cash Flows'!$C$4:$BW$4,0)))/$E$12)),IF(AF63&gt;0,AF63,""))</f>
        <v/>
      </c>
      <c r="AB63" s="112" t="str">
        <f t="shared" si="55"/>
        <v/>
      </c>
      <c r="AC63" s="139" t="str">
        <f>IFERROR(IF($Z63&gt;$E$12,"",IF($E$5="Uniform Inputs",INDEX($D$45:$E$53,MATCH($AA$3,$B$45:$B$53,0),MATCH(AC$4,$D$44:$E$44,0)),IF(AH63=0,"",AH63))),"")</f>
        <v/>
      </c>
      <c r="AD63" s="139" t="str">
        <f>IFERROR(IF($Z63&gt;$E$12,"",IF($E$5="Uniform Inputs",INDEX($D$45:$E$53,MATCH($AA$3,$B$45:$B$53,0),MATCH(AD$4,$D$44:$E$44,0)),IF(AI63=0,"",AI63))),"")</f>
        <v/>
      </c>
      <c r="AE63" s="10" t="str">
        <f t="shared" si="29"/>
        <v/>
      </c>
      <c r="AF63" s="11" t="s">
        <v>22</v>
      </c>
      <c r="AG63" s="168" t="s">
        <v>22</v>
      </c>
      <c r="AH63" s="11" t="s">
        <v>22</v>
      </c>
      <c r="AI63" s="11" t="s">
        <v>22</v>
      </c>
      <c r="AJ63" s="139" t="str">
        <f>IF($E$5="Uniform Inputs",IF($Z63&gt;$E$13,"",IF($E$23="Pro-Rata",MIN(AL63*AE63,(($I$5+'Cash Flows'!$BX$8+INDEX('Cash Flows'!$C$19:$BW$19,1,MATCH(EOMONTH(AK63,MOD(-MONTH(AK63),3)-3),'Cash Flows'!$C$4:$BW$4,0)))-$AA$5)/$E$13),MIN($E$24,(($I$5+'Cash Flows'!$BX$8+INDEX('Cash Flows'!$C$19:$BW$19,1,MATCH(EOMONTH(AK63,MOD(-MONTH(AK63),3)-3),'Cash Flows'!$C$4:$BW$4,0)))-$AA$5)/$E$13))),IF(AO63=0,"",AO63))</f>
        <v/>
      </c>
      <c r="AK63" s="112" t="str">
        <f t="shared" si="39"/>
        <v/>
      </c>
      <c r="AL63" s="139" t="str">
        <f>IFERROR(IF($Z63&gt;$E$12,"",IF($E$5="Uniform Inputs",INDEX($D$45:$E$53,MATCH($AJ$3,$B$45:$B$53,0),MATCH(AL$4,$D$44:$E$44,0)),IF(AQ63=0,"",AQ63))),"")</f>
        <v/>
      </c>
      <c r="AM63" s="139" t="str">
        <f>IFERROR(IF($Z63&gt;$E$12,"",IF($E$5="Uniform Inputs",INDEX($D$45:$E$53,MATCH($AJ$3,$B$45:$B$53,0),MATCH(AM$4,$D$44:$E$44,0)),IF(AR63=0,"",AR63))),"")</f>
        <v/>
      </c>
      <c r="AN63" s="10" t="str">
        <f t="shared" si="40"/>
        <v/>
      </c>
      <c r="AO63" s="11" t="s">
        <v>22</v>
      </c>
      <c r="AP63" s="168" t="s">
        <v>22</v>
      </c>
      <c r="AQ63" s="11" t="s">
        <v>22</v>
      </c>
      <c r="AR63" s="11" t="s">
        <v>22</v>
      </c>
      <c r="AS63" s="139" t="str">
        <f>IF($E$5="Uniform Inputs",IF($Z63&gt;$E$14,"",IF($E$23="Pro-Rata",MIN(AU63*AN63,(($I$5+'Cash Flows'!$BX$8+INDEX('Cash Flows'!$C$19:$BW$19,1,MATCH(EOMONTH(AT63,MOD(-MONTH(AT63),3)-3),'Cash Flows'!$C$4:$BW$4,0)))-SUM($AJ$5,$AA$5))/$E$14),MIN($E$25,(($I$5+'Cash Flows'!$BX$8+INDEX('Cash Flows'!$C$19:$BW$19,1,MATCH(EOMONTH(AT63,MOD(-MONTH(AT63),3)-3),'Cash Flows'!$C$4:$BW$4,0)))-SUM($AJ$5,$AA$5))/$E$14))),IF(AX63=0,"",AX63))</f>
        <v/>
      </c>
      <c r="AT63" s="112" t="str">
        <f t="shared" si="41"/>
        <v/>
      </c>
      <c r="AU63" s="139" t="str">
        <f>IFERROR(IF($Z63&gt;$E$12,"",IF($E$5="Uniform Inputs",INDEX($D$45:$E$53,MATCH($AS$3,$B$45:$B$53,0),MATCH(AU$4,$D$44:$E$44,0)),IF(AZ63=0,"",AZ63))),"")</f>
        <v/>
      </c>
      <c r="AV63" s="139" t="str">
        <f>IFERROR(IF($Z63&gt;$E$12,"",IF($E$5="Uniform Inputs",INDEX($D$45:$E$53,MATCH($AS$3,$B$45:$B$53,0),MATCH(AV$4,$D$44:$E$44,0)),IF(BA63=0,"",BA63))),"")</f>
        <v/>
      </c>
      <c r="AW63" s="10" t="str">
        <f t="shared" si="42"/>
        <v/>
      </c>
      <c r="AX63" s="11" t="s">
        <v>22</v>
      </c>
      <c r="AY63" s="168" t="s">
        <v>22</v>
      </c>
      <c r="AZ63" s="11" t="s">
        <v>22</v>
      </c>
      <c r="BA63" s="11" t="s">
        <v>22</v>
      </c>
      <c r="BB63" s="139" t="str">
        <f>IF($E$5="Uniform Inputs",IF($Z63&gt;$E$15,"",IF($E$23="Pro-Rata",MIN(BD63*AW63,(($I$5+'Cash Flows'!$BX$8+INDEX('Cash Flows'!$C$19:$BW$19,1,MATCH(EOMONTH(BC63,MOD(-MONTH(BC63),3)-3),'Cash Flows'!$C$4:$BW$4,0)))-SUM($AS$5,$AJ$5,$AA$5))/$E$15),MIN($E$26,(($I$5+'Cash Flows'!$BX$8+INDEX('Cash Flows'!$C$19:$BW$19,1,MATCH(EOMONTH(BC63,MOD(-MONTH(BC63),3)-3),'Cash Flows'!$C$4:$BW$4,0)))-SUM($AS$5,$AJ$5,$AA$5))/$E$15))),IF(BG63=0,"",BG63))</f>
        <v/>
      </c>
      <c r="BC63" s="112" t="str">
        <f t="shared" si="43"/>
        <v/>
      </c>
      <c r="BD63" s="139" t="str">
        <f>IFERROR(IF($Z63&gt;$E$12,"",IF($E$5="Uniform Inputs",INDEX($D$45:$E$53,MATCH($BB$3,$B$45:$B$53,0),MATCH(BD$4,$D$44:$E$44,0)),IF(BI63=0,"",BI63))),"")</f>
        <v/>
      </c>
      <c r="BE63" s="139" t="str">
        <f>IFERROR(IF($Z63&gt;$E$12,"",IF($E$5="Uniform Inputs",INDEX($D$45:$E$53,MATCH($BB$3,$B$45:$B$53,0),MATCH(BE$4,$D$44:$E$44,0)),IF(BJ63=0,"",BJ63))),"")</f>
        <v/>
      </c>
      <c r="BF63" s="10" t="str">
        <f t="shared" si="44"/>
        <v/>
      </c>
      <c r="BG63" s="11" t="s">
        <v>22</v>
      </c>
      <c r="BH63" s="168" t="s">
        <v>22</v>
      </c>
      <c r="BI63" s="11" t="s">
        <v>22</v>
      </c>
      <c r="BJ63" s="11" t="s">
        <v>22</v>
      </c>
      <c r="BK63" s="139" t="str">
        <f>IF($E$5="Uniform Inputs",IF($Z63&gt;$E$16,"",IF($E$23="Pro-Rata",MIN(BM63*BF63,(($I$5+'Cash Flows'!$BX$8+INDEX('Cash Flows'!$C$19:$BW$19,1,MATCH(EOMONTH(BL63,MOD(-MONTH(BL63),3)-3),'Cash Flows'!$C$4:$BW$4,0)))-SUM($BB$5,$AS$5,$AJ$5,$AA$5))/$E$16),MIN($E$27,(($I$5+'Cash Flows'!$BX$8+INDEX('Cash Flows'!$C$19:$BW$19,1,MATCH(EOMONTH(BL63,MOD(-MONTH(BL63),3)-3),'Cash Flows'!$C$4:$BW$4,0)))-SUM($BB$5,$AS$5,$AJ$5,$AA$5))/$E$16))),IF(BP63=0,"",BP63))</f>
        <v/>
      </c>
      <c r="BL63" s="112" t="str">
        <f t="shared" si="45"/>
        <v/>
      </c>
      <c r="BM63" s="139" t="str">
        <f>IFERROR(IF($Z63&gt;$E$12,"",IF($E$5="Uniform Inputs",INDEX($D$45:$E$53,MATCH($BK$3,$B$45:$B$53,0),MATCH(BM$4,$D$44:$E$44,0)),IF(BR63=0,"",BR63))),"")</f>
        <v/>
      </c>
      <c r="BN63" s="139" t="str">
        <f>IFERROR(IF($Z63&gt;$E$12,"",IF($E$5="Uniform Inputs",INDEX($D$45:$E$53,MATCH($BK$3,$B$45:$B$53,0),MATCH(BN$4,$D$44:$E$44,0)),IF(BS63=0,"",BS63))),"")</f>
        <v/>
      </c>
      <c r="BO63" s="10" t="str">
        <f t="shared" si="46"/>
        <v/>
      </c>
      <c r="BP63" s="11" t="s">
        <v>22</v>
      </c>
      <c r="BQ63" s="168" t="s">
        <v>22</v>
      </c>
      <c r="BR63" s="11" t="s">
        <v>22</v>
      </c>
      <c r="BS63" s="11" t="s">
        <v>22</v>
      </c>
      <c r="BT63" s="139" t="str">
        <f t="shared" si="30"/>
        <v/>
      </c>
      <c r="BU63" s="112" t="str">
        <f t="shared" si="47"/>
        <v/>
      </c>
      <c r="BV63" s="139" t="str">
        <f>IFERROR(IF($Z63&gt;$E$12,"",IF($E$5="Uniform Inputs",INDEX($D$45:$E$53,MATCH($BT$3,$B$45:$B$53,0),MATCH(BV$4,$D$44:$E$44,0)),IF(CA63=0,"",CA63))),"")</f>
        <v/>
      </c>
      <c r="BW63" s="139" t="str">
        <f>IFERROR(IF($Z63&gt;$E$12,"",IF($E$5="Uniform Inputs",INDEX($D$45:$E$53,MATCH($BT$3,$B$45:$B$53,0),MATCH(BW$4,$D$44:$E$44,0)),IF(CB63=0,"",CB63))),"")</f>
        <v/>
      </c>
      <c r="BX63" s="10" t="str">
        <f t="shared" si="48"/>
        <v/>
      </c>
      <c r="BY63" s="11" t="s">
        <v>22</v>
      </c>
      <c r="BZ63" s="168" t="s">
        <v>22</v>
      </c>
      <c r="CA63" s="11" t="s">
        <v>22</v>
      </c>
      <c r="CB63" s="11" t="s">
        <v>22</v>
      </c>
      <c r="CC63" s="139" t="str">
        <f t="shared" si="31"/>
        <v/>
      </c>
      <c r="CD63" s="112" t="str">
        <f t="shared" si="49"/>
        <v/>
      </c>
      <c r="CE63" s="139" t="str">
        <f>IFERROR(IF($Z63&gt;$E$12,"",IF($E$5="Uniform Inputs",INDEX($D$45:$E$53,MATCH($CC$3,$B$45:$B$53,0),MATCH(CE$4,$D$44:$E$44,0)),IF(CJ63=0,"",CJ63))),"")</f>
        <v/>
      </c>
      <c r="CF63" s="139" t="str">
        <f>IFERROR(IF($Z63&gt;$E$12,"",IF($E$5="Uniform Inputs",INDEX($D$45:$E$53,MATCH($CC$3,$B$45:$B$53,0),MATCH(CF$4,$D$44:$E$44,0)),IF(CK63=0,"",CK63))),"")</f>
        <v/>
      </c>
      <c r="CG63" s="10" t="str">
        <f t="shared" si="50"/>
        <v/>
      </c>
      <c r="CH63" s="11" t="s">
        <v>22</v>
      </c>
      <c r="CI63" s="168" t="s">
        <v>22</v>
      </c>
      <c r="CJ63" s="11" t="s">
        <v>22</v>
      </c>
      <c r="CK63" s="11" t="s">
        <v>22</v>
      </c>
      <c r="CL63" s="139" t="str">
        <f t="shared" si="32"/>
        <v/>
      </c>
      <c r="CM63" s="112" t="str">
        <f t="shared" si="51"/>
        <v/>
      </c>
      <c r="CN63" s="139" t="str">
        <f>IFERROR(IF($Z63&gt;$E$12,"",IF($E$5="Uniform Inputs",INDEX($D$45:$E$53,MATCH($CL$3,$B$45:$B$53,0),MATCH(CN$4,$D$44:$E$44,0)),IF(CS63=0,"",CS63))),"")</f>
        <v/>
      </c>
      <c r="CO63" s="139" t="str">
        <f>IFERROR(IF($Z63&gt;$E$12,"",IF($E$5="Uniform Inputs",INDEX($D$45:$E$53,MATCH($CL$3,$B$45:$B$53,0),MATCH(CO$4,$D$44:$E$44,0)),IF(CT63=0,"",CT63))),"")</f>
        <v/>
      </c>
      <c r="CP63" s="10" t="str">
        <f t="shared" si="52"/>
        <v/>
      </c>
      <c r="CQ63" s="11" t="s">
        <v>22</v>
      </c>
      <c r="CR63" s="168" t="s">
        <v>22</v>
      </c>
      <c r="CS63" s="11" t="s">
        <v>22</v>
      </c>
      <c r="CT63" s="11" t="s">
        <v>22</v>
      </c>
      <c r="CU63" s="139" t="str">
        <f t="shared" si="33"/>
        <v/>
      </c>
      <c r="CV63" s="112" t="str">
        <f t="shared" si="53"/>
        <v/>
      </c>
      <c r="CW63" s="139" t="str">
        <f>IFERROR(IF($Z63&gt;$E$12,"",IF($E$5="Uniform Inputs",INDEX($D$45:$E$53,MATCH($CU$3,$B$45:$B$53,0),MATCH(CW$4,$D$44:$E$44,0)),IF(DB63=0,"",DB63))),"")</f>
        <v/>
      </c>
      <c r="CX63" s="139" t="str">
        <f>IFERROR(IF($Z63&gt;$E$12,"",IF($E$5="Uniform Inputs",INDEX($D$45:$E$53,MATCH($CU$3,$B$45:$B$53,0),MATCH(CX$4,$D$44:$E$44,0)),IF(DC63=0,"",DC63))),"")</f>
        <v/>
      </c>
      <c r="CY63" s="10" t="str">
        <f t="shared" si="54"/>
        <v/>
      </c>
      <c r="CZ63" s="11" t="s">
        <v>22</v>
      </c>
      <c r="DA63" s="168" t="s">
        <v>22</v>
      </c>
      <c r="DB63" s="11" t="s">
        <v>22</v>
      </c>
      <c r="DC63" s="11" t="s">
        <v>22</v>
      </c>
    </row>
    <row r="64" spans="2:107" x14ac:dyDescent="0.25">
      <c r="B64" s="3" t="s">
        <v>22</v>
      </c>
      <c r="C64" s="3" t="s">
        <v>22</v>
      </c>
      <c r="D64" s="2" t="s">
        <v>22</v>
      </c>
      <c r="K64" s="6" t="str">
        <f t="shared" si="22"/>
        <v/>
      </c>
      <c r="O64" s="6" t="str">
        <f t="shared" si="23"/>
        <v/>
      </c>
      <c r="P64" s="35" t="str">
        <f t="shared" si="34"/>
        <v/>
      </c>
      <c r="Q64" s="102" t="str">
        <f t="shared" si="35"/>
        <v/>
      </c>
      <c r="R64" s="102" t="str">
        <f t="shared" ca="1" si="36"/>
        <v/>
      </c>
      <c r="S64" s="112" t="str">
        <f t="shared" si="24"/>
        <v/>
      </c>
      <c r="T64" s="112" t="str">
        <f t="shared" ca="1" si="37"/>
        <v/>
      </c>
      <c r="U64" s="1" t="str">
        <f t="shared" si="25"/>
        <v/>
      </c>
      <c r="V64" s="1" t="str">
        <f t="shared" ca="1" si="38"/>
        <v/>
      </c>
      <c r="W64" s="34" t="str">
        <f t="shared" ca="1" si="26"/>
        <v/>
      </c>
      <c r="Y64" s="2">
        <v>59</v>
      </c>
      <c r="Z64" s="6" t="str">
        <f t="shared" si="27"/>
        <v/>
      </c>
      <c r="AA64" s="139" t="str">
        <f>IF($E$5="Uniform Inputs",IF($Z64&gt;$E$12,"",MIN($E$21,($I$5+'Cash Flows'!$BX$8+INDEX('Cash Flows'!$C$19:$BW$19,1,MATCH(EOMONTH(AB64,MOD(-MONTH(AB64),3)-3),'Cash Flows'!$C$4:$BW$4,0)))/$E$12)),IF(AF64&gt;0,AF64,""))</f>
        <v/>
      </c>
      <c r="AB64" s="112" t="str">
        <f t="shared" si="55"/>
        <v/>
      </c>
      <c r="AC64" s="139" t="str">
        <f>IFERROR(IF($Z64&gt;$E$12,"",IF($E$5="Uniform Inputs",INDEX($D$45:$E$53,MATCH($AA$3,$B$45:$B$53,0),MATCH(AC$4,$D$44:$E$44,0)),IF(AH64=0,"",AH64))),"")</f>
        <v/>
      </c>
      <c r="AD64" s="139" t="str">
        <f>IFERROR(IF($Z64&gt;$E$12,"",IF($E$5="Uniform Inputs",INDEX($D$45:$E$53,MATCH($AA$3,$B$45:$B$53,0),MATCH(AD$4,$D$44:$E$44,0)),IF(AI64=0,"",AI64))),"")</f>
        <v/>
      </c>
      <c r="AE64" s="10" t="str">
        <f t="shared" si="29"/>
        <v/>
      </c>
      <c r="AF64" s="11" t="s">
        <v>22</v>
      </c>
      <c r="AG64" s="168" t="s">
        <v>22</v>
      </c>
      <c r="AH64" s="11" t="s">
        <v>22</v>
      </c>
      <c r="AI64" s="11" t="s">
        <v>22</v>
      </c>
      <c r="AJ64" s="139" t="str">
        <f>IF($E$5="Uniform Inputs",IF($Z64&gt;$E$13,"",IF($E$23="Pro-Rata",MIN(AL64*AE64,(($I$5+'Cash Flows'!$BX$8+INDEX('Cash Flows'!$C$19:$BW$19,1,MATCH(EOMONTH(AK64,MOD(-MONTH(AK64),3)-3),'Cash Flows'!$C$4:$BW$4,0)))-$AA$5)/$E$13),MIN($E$24,(($I$5+'Cash Flows'!$BX$8+INDEX('Cash Flows'!$C$19:$BW$19,1,MATCH(EOMONTH(AK64,MOD(-MONTH(AK64),3)-3),'Cash Flows'!$C$4:$BW$4,0)))-$AA$5)/$E$13))),IF(AO64=0,"",AO64))</f>
        <v/>
      </c>
      <c r="AK64" s="112" t="str">
        <f t="shared" si="39"/>
        <v/>
      </c>
      <c r="AL64" s="139" t="str">
        <f>IFERROR(IF($Z64&gt;$E$12,"",IF($E$5="Uniform Inputs",INDEX($D$45:$E$53,MATCH($AJ$3,$B$45:$B$53,0),MATCH(AL$4,$D$44:$E$44,0)),IF(AQ64=0,"",AQ64))),"")</f>
        <v/>
      </c>
      <c r="AM64" s="139" t="str">
        <f>IFERROR(IF($Z64&gt;$E$12,"",IF($E$5="Uniform Inputs",INDEX($D$45:$E$53,MATCH($AJ$3,$B$45:$B$53,0),MATCH(AM$4,$D$44:$E$44,0)),IF(AR64=0,"",AR64))),"")</f>
        <v/>
      </c>
      <c r="AN64" s="10" t="str">
        <f t="shared" si="40"/>
        <v/>
      </c>
      <c r="AO64" s="11" t="s">
        <v>22</v>
      </c>
      <c r="AP64" s="168" t="s">
        <v>22</v>
      </c>
      <c r="AQ64" s="11" t="s">
        <v>22</v>
      </c>
      <c r="AR64" s="11" t="s">
        <v>22</v>
      </c>
      <c r="AS64" s="139" t="str">
        <f>IF($E$5="Uniform Inputs",IF($Z64&gt;$E$14,"",IF($E$23="Pro-Rata",MIN(AU64*AN64,(($I$5+'Cash Flows'!$BX$8+INDEX('Cash Flows'!$C$19:$BW$19,1,MATCH(EOMONTH(AT64,MOD(-MONTH(AT64),3)-3),'Cash Flows'!$C$4:$BW$4,0)))-SUM($AJ$5,$AA$5))/$E$14),MIN($E$25,(($I$5+'Cash Flows'!$BX$8+INDEX('Cash Flows'!$C$19:$BW$19,1,MATCH(EOMONTH(AT64,MOD(-MONTH(AT64),3)-3),'Cash Flows'!$C$4:$BW$4,0)))-SUM($AJ$5,$AA$5))/$E$14))),IF(AX64=0,"",AX64))</f>
        <v/>
      </c>
      <c r="AT64" s="112" t="str">
        <f t="shared" si="41"/>
        <v/>
      </c>
      <c r="AU64" s="139" t="str">
        <f>IFERROR(IF($Z64&gt;$E$12,"",IF($E$5="Uniform Inputs",INDEX($D$45:$E$53,MATCH($AS$3,$B$45:$B$53,0),MATCH(AU$4,$D$44:$E$44,0)),IF(AZ64=0,"",AZ64))),"")</f>
        <v/>
      </c>
      <c r="AV64" s="139" t="str">
        <f>IFERROR(IF($Z64&gt;$E$12,"",IF($E$5="Uniform Inputs",INDEX($D$45:$E$53,MATCH($AS$3,$B$45:$B$53,0),MATCH(AV$4,$D$44:$E$44,0)),IF(BA64=0,"",BA64))),"")</f>
        <v/>
      </c>
      <c r="AW64" s="10" t="str">
        <f t="shared" si="42"/>
        <v/>
      </c>
      <c r="AX64" s="11" t="s">
        <v>22</v>
      </c>
      <c r="AY64" s="168" t="s">
        <v>22</v>
      </c>
      <c r="AZ64" s="11" t="s">
        <v>22</v>
      </c>
      <c r="BA64" s="11" t="s">
        <v>22</v>
      </c>
      <c r="BB64" s="139" t="str">
        <f>IF($E$5="Uniform Inputs",IF($Z64&gt;$E$15,"",IF($E$23="Pro-Rata",MIN(BD64*AW64,(($I$5+'Cash Flows'!$BX$8+INDEX('Cash Flows'!$C$19:$BW$19,1,MATCH(EOMONTH(BC64,MOD(-MONTH(BC64),3)-3),'Cash Flows'!$C$4:$BW$4,0)))-SUM($AS$5,$AJ$5,$AA$5))/$E$15),MIN($E$26,(($I$5+'Cash Flows'!$BX$8+INDEX('Cash Flows'!$C$19:$BW$19,1,MATCH(EOMONTH(BC64,MOD(-MONTH(BC64),3)-3),'Cash Flows'!$C$4:$BW$4,0)))-SUM($AS$5,$AJ$5,$AA$5))/$E$15))),IF(BG64=0,"",BG64))</f>
        <v/>
      </c>
      <c r="BC64" s="112" t="str">
        <f t="shared" si="43"/>
        <v/>
      </c>
      <c r="BD64" s="139" t="str">
        <f>IFERROR(IF($Z64&gt;$E$12,"",IF($E$5="Uniform Inputs",INDEX($D$45:$E$53,MATCH($BB$3,$B$45:$B$53,0),MATCH(BD$4,$D$44:$E$44,0)),IF(BI64=0,"",BI64))),"")</f>
        <v/>
      </c>
      <c r="BE64" s="139" t="str">
        <f>IFERROR(IF($Z64&gt;$E$12,"",IF($E$5="Uniform Inputs",INDEX($D$45:$E$53,MATCH($BB$3,$B$45:$B$53,0),MATCH(BE$4,$D$44:$E$44,0)),IF(BJ64=0,"",BJ64))),"")</f>
        <v/>
      </c>
      <c r="BF64" s="10" t="str">
        <f t="shared" si="44"/>
        <v/>
      </c>
      <c r="BG64" s="11" t="s">
        <v>22</v>
      </c>
      <c r="BH64" s="168" t="s">
        <v>22</v>
      </c>
      <c r="BI64" s="11" t="s">
        <v>22</v>
      </c>
      <c r="BJ64" s="11" t="s">
        <v>22</v>
      </c>
      <c r="BK64" s="139" t="str">
        <f>IF($E$5="Uniform Inputs",IF($Z64&gt;$E$16,"",IF($E$23="Pro-Rata",MIN(BM64*BF64,(($I$5+'Cash Flows'!$BX$8+INDEX('Cash Flows'!$C$19:$BW$19,1,MATCH(EOMONTH(BL64,MOD(-MONTH(BL64),3)-3),'Cash Flows'!$C$4:$BW$4,0)))-SUM($BB$5,$AS$5,$AJ$5,$AA$5))/$E$16),MIN($E$27,(($I$5+'Cash Flows'!$BX$8+INDEX('Cash Flows'!$C$19:$BW$19,1,MATCH(EOMONTH(BL64,MOD(-MONTH(BL64),3)-3),'Cash Flows'!$C$4:$BW$4,0)))-SUM($BB$5,$AS$5,$AJ$5,$AA$5))/$E$16))),IF(BP64=0,"",BP64))</f>
        <v/>
      </c>
      <c r="BL64" s="112" t="str">
        <f t="shared" si="45"/>
        <v/>
      </c>
      <c r="BM64" s="139" t="str">
        <f>IFERROR(IF($Z64&gt;$E$12,"",IF($E$5="Uniform Inputs",INDEX($D$45:$E$53,MATCH($BK$3,$B$45:$B$53,0),MATCH(BM$4,$D$44:$E$44,0)),IF(BR64=0,"",BR64))),"")</f>
        <v/>
      </c>
      <c r="BN64" s="139" t="str">
        <f>IFERROR(IF($Z64&gt;$E$12,"",IF($E$5="Uniform Inputs",INDEX($D$45:$E$53,MATCH($BK$3,$B$45:$B$53,0),MATCH(BN$4,$D$44:$E$44,0)),IF(BS64=0,"",BS64))),"")</f>
        <v/>
      </c>
      <c r="BO64" s="10" t="str">
        <f t="shared" si="46"/>
        <v/>
      </c>
      <c r="BP64" s="11" t="s">
        <v>22</v>
      </c>
      <c r="BQ64" s="168" t="s">
        <v>22</v>
      </c>
      <c r="BR64" s="11" t="s">
        <v>22</v>
      </c>
      <c r="BS64" s="11" t="s">
        <v>22</v>
      </c>
      <c r="BT64" s="139" t="str">
        <f t="shared" si="30"/>
        <v/>
      </c>
      <c r="BU64" s="112" t="str">
        <f t="shared" si="47"/>
        <v/>
      </c>
      <c r="BV64" s="139" t="str">
        <f>IFERROR(IF($Z64&gt;$E$12,"",IF($E$5="Uniform Inputs",INDEX($D$45:$E$53,MATCH($BT$3,$B$45:$B$53,0),MATCH(BV$4,$D$44:$E$44,0)),IF(CA64=0,"",CA64))),"")</f>
        <v/>
      </c>
      <c r="BW64" s="139" t="str">
        <f>IFERROR(IF($Z64&gt;$E$12,"",IF($E$5="Uniform Inputs",INDEX($D$45:$E$53,MATCH($BT$3,$B$45:$B$53,0),MATCH(BW$4,$D$44:$E$44,0)),IF(CB64=0,"",CB64))),"")</f>
        <v/>
      </c>
      <c r="BX64" s="10" t="str">
        <f t="shared" si="48"/>
        <v/>
      </c>
      <c r="BY64" s="11" t="s">
        <v>22</v>
      </c>
      <c r="BZ64" s="168" t="s">
        <v>22</v>
      </c>
      <c r="CA64" s="11" t="s">
        <v>22</v>
      </c>
      <c r="CB64" s="11" t="s">
        <v>22</v>
      </c>
      <c r="CC64" s="139" t="str">
        <f t="shared" si="31"/>
        <v/>
      </c>
      <c r="CD64" s="112" t="str">
        <f t="shared" si="49"/>
        <v/>
      </c>
      <c r="CE64" s="139" t="str">
        <f>IFERROR(IF($Z64&gt;$E$12,"",IF($E$5="Uniform Inputs",INDEX($D$45:$E$53,MATCH($CC$3,$B$45:$B$53,0),MATCH(CE$4,$D$44:$E$44,0)),IF(CJ64=0,"",CJ64))),"")</f>
        <v/>
      </c>
      <c r="CF64" s="139" t="str">
        <f>IFERROR(IF($Z64&gt;$E$12,"",IF($E$5="Uniform Inputs",INDEX($D$45:$E$53,MATCH($CC$3,$B$45:$B$53,0),MATCH(CF$4,$D$44:$E$44,0)),IF(CK64=0,"",CK64))),"")</f>
        <v/>
      </c>
      <c r="CG64" s="10" t="str">
        <f t="shared" si="50"/>
        <v/>
      </c>
      <c r="CH64" s="11" t="s">
        <v>22</v>
      </c>
      <c r="CI64" s="168" t="s">
        <v>22</v>
      </c>
      <c r="CJ64" s="11" t="s">
        <v>22</v>
      </c>
      <c r="CK64" s="11" t="s">
        <v>22</v>
      </c>
      <c r="CL64" s="139" t="str">
        <f t="shared" si="32"/>
        <v/>
      </c>
      <c r="CM64" s="112" t="str">
        <f t="shared" si="51"/>
        <v/>
      </c>
      <c r="CN64" s="139" t="str">
        <f>IFERROR(IF($Z64&gt;$E$12,"",IF($E$5="Uniform Inputs",INDEX($D$45:$E$53,MATCH($CL$3,$B$45:$B$53,0),MATCH(CN$4,$D$44:$E$44,0)),IF(CS64=0,"",CS64))),"")</f>
        <v/>
      </c>
      <c r="CO64" s="139" t="str">
        <f>IFERROR(IF($Z64&gt;$E$12,"",IF($E$5="Uniform Inputs",INDEX($D$45:$E$53,MATCH($CL$3,$B$45:$B$53,0),MATCH(CO$4,$D$44:$E$44,0)),IF(CT64=0,"",CT64))),"")</f>
        <v/>
      </c>
      <c r="CP64" s="10" t="str">
        <f t="shared" si="52"/>
        <v/>
      </c>
      <c r="CQ64" s="11" t="s">
        <v>22</v>
      </c>
      <c r="CR64" s="168" t="s">
        <v>22</v>
      </c>
      <c r="CS64" s="11" t="s">
        <v>22</v>
      </c>
      <c r="CT64" s="11" t="s">
        <v>22</v>
      </c>
      <c r="CU64" s="139" t="str">
        <f t="shared" si="33"/>
        <v/>
      </c>
      <c r="CV64" s="112" t="str">
        <f t="shared" si="53"/>
        <v/>
      </c>
      <c r="CW64" s="139" t="str">
        <f>IFERROR(IF($Z64&gt;$E$12,"",IF($E$5="Uniform Inputs",INDEX($D$45:$E$53,MATCH($CU$3,$B$45:$B$53,0),MATCH(CW$4,$D$44:$E$44,0)),IF(DB64=0,"",DB64))),"")</f>
        <v/>
      </c>
      <c r="CX64" s="139" t="str">
        <f>IFERROR(IF($Z64&gt;$E$12,"",IF($E$5="Uniform Inputs",INDEX($D$45:$E$53,MATCH($CU$3,$B$45:$B$53,0),MATCH(CX$4,$D$44:$E$44,0)),IF(DC64=0,"",DC64))),"")</f>
        <v/>
      </c>
      <c r="CY64" s="10" t="str">
        <f t="shared" si="54"/>
        <v/>
      </c>
      <c r="CZ64" s="11" t="s">
        <v>22</v>
      </c>
      <c r="DA64" s="168" t="s">
        <v>22</v>
      </c>
      <c r="DB64" s="11" t="s">
        <v>22</v>
      </c>
      <c r="DC64" s="11" t="s">
        <v>22</v>
      </c>
    </row>
    <row r="65" spans="2:107" x14ac:dyDescent="0.25">
      <c r="B65" s="3" t="s">
        <v>22</v>
      </c>
      <c r="C65" s="3" t="s">
        <v>22</v>
      </c>
      <c r="D65" s="2" t="s">
        <v>22</v>
      </c>
      <c r="K65" s="6" t="str">
        <f t="shared" si="22"/>
        <v/>
      </c>
      <c r="O65" s="6" t="str">
        <f t="shared" si="23"/>
        <v/>
      </c>
      <c r="P65" s="35" t="str">
        <f t="shared" si="34"/>
        <v/>
      </c>
      <c r="Q65" s="102" t="str">
        <f t="shared" si="35"/>
        <v/>
      </c>
      <c r="R65" s="102" t="str">
        <f t="shared" ca="1" si="36"/>
        <v/>
      </c>
      <c r="S65" s="112" t="str">
        <f t="shared" si="24"/>
        <v/>
      </c>
      <c r="T65" s="112" t="str">
        <f t="shared" ca="1" si="37"/>
        <v/>
      </c>
      <c r="U65" s="1" t="str">
        <f t="shared" si="25"/>
        <v/>
      </c>
      <c r="V65" s="1" t="str">
        <f t="shared" ca="1" si="38"/>
        <v/>
      </c>
      <c r="W65" s="34" t="str">
        <f t="shared" ca="1" si="26"/>
        <v/>
      </c>
      <c r="Y65" s="2">
        <v>60</v>
      </c>
      <c r="Z65" s="6" t="str">
        <f t="shared" si="27"/>
        <v/>
      </c>
      <c r="AA65" s="139" t="str">
        <f>IF($E$5="Uniform Inputs",IF($Z65&gt;$E$12,"",MIN($E$21,($I$5+'Cash Flows'!$BX$8+INDEX('Cash Flows'!$C$19:$BW$19,1,MATCH(EOMONTH(AB65,MOD(-MONTH(AB65),3)-3),'Cash Flows'!$C$4:$BW$4,0)))/$E$12)),IF(AF65&gt;0,AF65,""))</f>
        <v/>
      </c>
      <c r="AB65" s="112" t="str">
        <f t="shared" si="55"/>
        <v/>
      </c>
      <c r="AC65" s="139" t="str">
        <f>IFERROR(IF($Z65&gt;$E$12,"",IF($E$5="Uniform Inputs",INDEX($D$45:$E$53,MATCH($AA$3,$B$45:$B$53,0),MATCH(AC$4,$D$44:$E$44,0)),IF(AH65=0,"",AH65))),"")</f>
        <v/>
      </c>
      <c r="AD65" s="139" t="str">
        <f>IFERROR(IF($Z65&gt;$E$12,"",IF($E$5="Uniform Inputs",INDEX($D$45:$E$53,MATCH($AA$3,$B$45:$B$53,0),MATCH(AD$4,$D$44:$E$44,0)),IF(AI65=0,"",AI65))),"")</f>
        <v/>
      </c>
      <c r="AE65" s="10" t="str">
        <f t="shared" si="29"/>
        <v/>
      </c>
      <c r="AF65" s="11" t="s">
        <v>22</v>
      </c>
      <c r="AG65" s="168" t="s">
        <v>22</v>
      </c>
      <c r="AH65" s="11" t="s">
        <v>22</v>
      </c>
      <c r="AI65" s="11" t="s">
        <v>22</v>
      </c>
      <c r="AJ65" s="139" t="str">
        <f>IF($E$5="Uniform Inputs",IF($Z65&gt;$E$13,"",IF($E$23="Pro-Rata",MIN(AL65*AE65,(($I$5+'Cash Flows'!$BX$8+INDEX('Cash Flows'!$C$19:$BW$19,1,MATCH(EOMONTH(AK65,MOD(-MONTH(AK65),3)-3),'Cash Flows'!$C$4:$BW$4,0)))-$AA$5)/$E$13),MIN($E$24,(($I$5+'Cash Flows'!$BX$8+INDEX('Cash Flows'!$C$19:$BW$19,1,MATCH(EOMONTH(AK65,MOD(-MONTH(AK65),3)-3),'Cash Flows'!$C$4:$BW$4,0)))-$AA$5)/$E$13))),IF(AO65=0,"",AO65))</f>
        <v/>
      </c>
      <c r="AK65" s="112" t="str">
        <f t="shared" si="39"/>
        <v/>
      </c>
      <c r="AL65" s="139" t="str">
        <f>IFERROR(IF($Z65&gt;$E$12,"",IF($E$5="Uniform Inputs",INDEX($D$45:$E$53,MATCH($AJ$3,$B$45:$B$53,0),MATCH(AL$4,$D$44:$E$44,0)),IF(AQ65=0,"",AQ65))),"")</f>
        <v/>
      </c>
      <c r="AM65" s="139" t="str">
        <f>IFERROR(IF($Z65&gt;$E$12,"",IF($E$5="Uniform Inputs",INDEX($D$45:$E$53,MATCH($AJ$3,$B$45:$B$53,0),MATCH(AM$4,$D$44:$E$44,0)),IF(AR65=0,"",AR65))),"")</f>
        <v/>
      </c>
      <c r="AN65" s="10" t="str">
        <f t="shared" si="40"/>
        <v/>
      </c>
      <c r="AO65" s="11" t="s">
        <v>22</v>
      </c>
      <c r="AP65" s="168" t="s">
        <v>22</v>
      </c>
      <c r="AQ65" s="11" t="s">
        <v>22</v>
      </c>
      <c r="AR65" s="11" t="s">
        <v>22</v>
      </c>
      <c r="AS65" s="139" t="str">
        <f>IF($E$5="Uniform Inputs",IF($Z65&gt;$E$14,"",IF($E$23="Pro-Rata",MIN(AU65*AN65,(($I$5+'Cash Flows'!$BX$8+INDEX('Cash Flows'!$C$19:$BW$19,1,MATCH(EOMONTH(AT65,MOD(-MONTH(AT65),3)-3),'Cash Flows'!$C$4:$BW$4,0)))-SUM($AJ$5,$AA$5))/$E$14),MIN($E$25,(($I$5+'Cash Flows'!$BX$8+INDEX('Cash Flows'!$C$19:$BW$19,1,MATCH(EOMONTH(AT65,MOD(-MONTH(AT65),3)-3),'Cash Flows'!$C$4:$BW$4,0)))-SUM($AJ$5,$AA$5))/$E$14))),IF(AX65=0,"",AX65))</f>
        <v/>
      </c>
      <c r="AT65" s="112" t="str">
        <f t="shared" si="41"/>
        <v/>
      </c>
      <c r="AU65" s="139" t="str">
        <f>IFERROR(IF($Z65&gt;$E$12,"",IF($E$5="Uniform Inputs",INDEX($D$45:$E$53,MATCH($AS$3,$B$45:$B$53,0),MATCH(AU$4,$D$44:$E$44,0)),IF(AZ65=0,"",AZ65))),"")</f>
        <v/>
      </c>
      <c r="AV65" s="139" t="str">
        <f>IFERROR(IF($Z65&gt;$E$12,"",IF($E$5="Uniform Inputs",INDEX($D$45:$E$53,MATCH($AS$3,$B$45:$B$53,0),MATCH(AV$4,$D$44:$E$44,0)),IF(BA65=0,"",BA65))),"")</f>
        <v/>
      </c>
      <c r="AW65" s="10" t="str">
        <f t="shared" si="42"/>
        <v/>
      </c>
      <c r="AX65" s="11" t="s">
        <v>22</v>
      </c>
      <c r="AY65" s="168" t="s">
        <v>22</v>
      </c>
      <c r="AZ65" s="11" t="s">
        <v>22</v>
      </c>
      <c r="BA65" s="11" t="s">
        <v>22</v>
      </c>
      <c r="BB65" s="139" t="str">
        <f>IF($E$5="Uniform Inputs",IF($Z65&gt;$E$15,"",IF($E$23="Pro-Rata",MIN(BD65*AW65,(($I$5+'Cash Flows'!$BX$8+INDEX('Cash Flows'!$C$19:$BW$19,1,MATCH(EOMONTH(BC65,MOD(-MONTH(BC65),3)-3),'Cash Flows'!$C$4:$BW$4,0)))-SUM($AS$5,$AJ$5,$AA$5))/$E$15),MIN($E$26,(($I$5+'Cash Flows'!$BX$8+INDEX('Cash Flows'!$C$19:$BW$19,1,MATCH(EOMONTH(BC65,MOD(-MONTH(BC65),3)-3),'Cash Flows'!$C$4:$BW$4,0)))-SUM($AS$5,$AJ$5,$AA$5))/$E$15))),IF(BG65=0,"",BG65))</f>
        <v/>
      </c>
      <c r="BC65" s="112" t="str">
        <f t="shared" si="43"/>
        <v/>
      </c>
      <c r="BD65" s="139" t="str">
        <f>IFERROR(IF($Z65&gt;$E$12,"",IF($E$5="Uniform Inputs",INDEX($D$45:$E$53,MATCH($BB$3,$B$45:$B$53,0),MATCH(BD$4,$D$44:$E$44,0)),IF(BI65=0,"",BI65))),"")</f>
        <v/>
      </c>
      <c r="BE65" s="139" t="str">
        <f>IFERROR(IF($Z65&gt;$E$12,"",IF($E$5="Uniform Inputs",INDEX($D$45:$E$53,MATCH($BB$3,$B$45:$B$53,0),MATCH(BE$4,$D$44:$E$44,0)),IF(BJ65=0,"",BJ65))),"")</f>
        <v/>
      </c>
      <c r="BF65" s="10" t="str">
        <f t="shared" si="44"/>
        <v/>
      </c>
      <c r="BG65" s="11" t="s">
        <v>22</v>
      </c>
      <c r="BH65" s="168" t="s">
        <v>22</v>
      </c>
      <c r="BI65" s="11" t="s">
        <v>22</v>
      </c>
      <c r="BJ65" s="11" t="s">
        <v>22</v>
      </c>
      <c r="BK65" s="139" t="str">
        <f>IF($E$5="Uniform Inputs",IF($Z65&gt;$E$16,"",IF($E$23="Pro-Rata",MIN(BM65*BF65,(($I$5+'Cash Flows'!$BX$8+INDEX('Cash Flows'!$C$19:$BW$19,1,MATCH(EOMONTH(BL65,MOD(-MONTH(BL65),3)-3),'Cash Flows'!$C$4:$BW$4,0)))-SUM($BB$5,$AS$5,$AJ$5,$AA$5))/$E$16),MIN($E$27,(($I$5+'Cash Flows'!$BX$8+INDEX('Cash Flows'!$C$19:$BW$19,1,MATCH(EOMONTH(BL65,MOD(-MONTH(BL65),3)-3),'Cash Flows'!$C$4:$BW$4,0)))-SUM($BB$5,$AS$5,$AJ$5,$AA$5))/$E$16))),IF(BP65=0,"",BP65))</f>
        <v/>
      </c>
      <c r="BL65" s="112" t="str">
        <f t="shared" si="45"/>
        <v/>
      </c>
      <c r="BM65" s="139" t="str">
        <f>IFERROR(IF($Z65&gt;$E$12,"",IF($E$5="Uniform Inputs",INDEX($D$45:$E$53,MATCH($BK$3,$B$45:$B$53,0),MATCH(BM$4,$D$44:$E$44,0)),IF(BR65=0,"",BR65))),"")</f>
        <v/>
      </c>
      <c r="BN65" s="139" t="str">
        <f>IFERROR(IF($Z65&gt;$E$12,"",IF($E$5="Uniform Inputs",INDEX($D$45:$E$53,MATCH($BK$3,$B$45:$B$53,0),MATCH(BN$4,$D$44:$E$44,0)),IF(BS65=0,"",BS65))),"")</f>
        <v/>
      </c>
      <c r="BO65" s="10" t="str">
        <f t="shared" si="46"/>
        <v/>
      </c>
      <c r="BP65" s="11" t="s">
        <v>22</v>
      </c>
      <c r="BQ65" s="168" t="s">
        <v>22</v>
      </c>
      <c r="BR65" s="11" t="s">
        <v>22</v>
      </c>
      <c r="BS65" s="11" t="s">
        <v>22</v>
      </c>
      <c r="BT65" s="139" t="str">
        <f t="shared" si="30"/>
        <v/>
      </c>
      <c r="BU65" s="112" t="str">
        <f t="shared" si="47"/>
        <v/>
      </c>
      <c r="BV65" s="139" t="str">
        <f>IFERROR(IF($Z65&gt;$E$12,"",IF($E$5="Uniform Inputs",INDEX($D$45:$E$53,MATCH($BT$3,$B$45:$B$53,0),MATCH(BV$4,$D$44:$E$44,0)),IF(CA65=0,"",CA65))),"")</f>
        <v/>
      </c>
      <c r="BW65" s="139" t="str">
        <f>IFERROR(IF($Z65&gt;$E$12,"",IF($E$5="Uniform Inputs",INDEX($D$45:$E$53,MATCH($BT$3,$B$45:$B$53,0),MATCH(BW$4,$D$44:$E$44,0)),IF(CB65=0,"",CB65))),"")</f>
        <v/>
      </c>
      <c r="BX65" s="10" t="str">
        <f t="shared" si="48"/>
        <v/>
      </c>
      <c r="BY65" s="11" t="s">
        <v>22</v>
      </c>
      <c r="BZ65" s="168" t="s">
        <v>22</v>
      </c>
      <c r="CA65" s="11" t="s">
        <v>22</v>
      </c>
      <c r="CB65" s="11" t="s">
        <v>22</v>
      </c>
      <c r="CC65" s="139" t="str">
        <f t="shared" si="31"/>
        <v/>
      </c>
      <c r="CD65" s="112" t="str">
        <f t="shared" si="49"/>
        <v/>
      </c>
      <c r="CE65" s="139" t="str">
        <f>IFERROR(IF($Z65&gt;$E$12,"",IF($E$5="Uniform Inputs",INDEX($D$45:$E$53,MATCH($CC$3,$B$45:$B$53,0),MATCH(CE$4,$D$44:$E$44,0)),IF(CJ65=0,"",CJ65))),"")</f>
        <v/>
      </c>
      <c r="CF65" s="139" t="str">
        <f>IFERROR(IF($Z65&gt;$E$12,"",IF($E$5="Uniform Inputs",INDEX($D$45:$E$53,MATCH($CC$3,$B$45:$B$53,0),MATCH(CF$4,$D$44:$E$44,0)),IF(CK65=0,"",CK65))),"")</f>
        <v/>
      </c>
      <c r="CG65" s="10" t="str">
        <f t="shared" si="50"/>
        <v/>
      </c>
      <c r="CH65" s="11" t="s">
        <v>22</v>
      </c>
      <c r="CI65" s="168" t="s">
        <v>22</v>
      </c>
      <c r="CJ65" s="11" t="s">
        <v>22</v>
      </c>
      <c r="CK65" s="11" t="s">
        <v>22</v>
      </c>
      <c r="CL65" s="139" t="str">
        <f t="shared" si="32"/>
        <v/>
      </c>
      <c r="CM65" s="112" t="str">
        <f t="shared" si="51"/>
        <v/>
      </c>
      <c r="CN65" s="139" t="str">
        <f>IFERROR(IF($Z65&gt;$E$12,"",IF($E$5="Uniform Inputs",INDEX($D$45:$E$53,MATCH($CL$3,$B$45:$B$53,0),MATCH(CN$4,$D$44:$E$44,0)),IF(CS65=0,"",CS65))),"")</f>
        <v/>
      </c>
      <c r="CO65" s="139" t="str">
        <f>IFERROR(IF($Z65&gt;$E$12,"",IF($E$5="Uniform Inputs",INDEX($D$45:$E$53,MATCH($CL$3,$B$45:$B$53,0),MATCH(CO$4,$D$44:$E$44,0)),IF(CT65=0,"",CT65))),"")</f>
        <v/>
      </c>
      <c r="CP65" s="10" t="str">
        <f t="shared" si="52"/>
        <v/>
      </c>
      <c r="CQ65" s="11" t="s">
        <v>22</v>
      </c>
      <c r="CR65" s="168" t="s">
        <v>22</v>
      </c>
      <c r="CS65" s="11" t="s">
        <v>22</v>
      </c>
      <c r="CT65" s="11" t="s">
        <v>22</v>
      </c>
      <c r="CU65" s="139" t="str">
        <f t="shared" si="33"/>
        <v/>
      </c>
      <c r="CV65" s="112" t="str">
        <f t="shared" si="53"/>
        <v/>
      </c>
      <c r="CW65" s="139" t="str">
        <f>IFERROR(IF($Z65&gt;$E$12,"",IF($E$5="Uniform Inputs",INDEX($D$45:$E$53,MATCH($CU$3,$B$45:$B$53,0),MATCH(CW$4,$D$44:$E$44,0)),IF(DB65=0,"",DB65))),"")</f>
        <v/>
      </c>
      <c r="CX65" s="139" t="str">
        <f>IFERROR(IF($Z65&gt;$E$12,"",IF($E$5="Uniform Inputs",INDEX($D$45:$E$53,MATCH($CU$3,$B$45:$B$53,0),MATCH(CX$4,$D$44:$E$44,0)),IF(DC65=0,"",DC65))),"")</f>
        <v/>
      </c>
      <c r="CY65" s="10" t="str">
        <f t="shared" si="54"/>
        <v/>
      </c>
      <c r="CZ65" s="11" t="s">
        <v>22</v>
      </c>
      <c r="DA65" s="168" t="s">
        <v>22</v>
      </c>
      <c r="DB65" s="11" t="s">
        <v>22</v>
      </c>
      <c r="DC65" s="11" t="s">
        <v>22</v>
      </c>
    </row>
    <row r="66" spans="2:107" x14ac:dyDescent="0.25">
      <c r="B66" s="3" t="s">
        <v>22</v>
      </c>
      <c r="C66" s="3" t="s">
        <v>22</v>
      </c>
      <c r="D66" s="2" t="s">
        <v>22</v>
      </c>
      <c r="K66" s="6" t="str">
        <f t="shared" si="22"/>
        <v/>
      </c>
      <c r="O66" s="6" t="str">
        <f t="shared" si="23"/>
        <v/>
      </c>
      <c r="P66" s="35" t="str">
        <f t="shared" si="34"/>
        <v/>
      </c>
      <c r="Q66" s="102" t="str">
        <f t="shared" si="35"/>
        <v/>
      </c>
      <c r="R66" s="102" t="str">
        <f t="shared" ca="1" si="36"/>
        <v/>
      </c>
      <c r="S66" s="112" t="str">
        <f t="shared" si="24"/>
        <v/>
      </c>
      <c r="T66" s="112" t="str">
        <f t="shared" ca="1" si="37"/>
        <v/>
      </c>
      <c r="U66" s="1" t="str">
        <f t="shared" si="25"/>
        <v/>
      </c>
      <c r="V66" s="1" t="str">
        <f t="shared" ca="1" si="38"/>
        <v/>
      </c>
      <c r="W66" s="34" t="str">
        <f t="shared" ca="1" si="26"/>
        <v/>
      </c>
      <c r="Y66" s="2">
        <v>61</v>
      </c>
      <c r="Z66" s="6" t="str">
        <f t="shared" si="27"/>
        <v/>
      </c>
      <c r="AA66" s="139" t="str">
        <f>IF($E$5="Uniform Inputs",IF($Z66&gt;$E$12,"",MIN($E$21,($I$5+'Cash Flows'!$BX$8+INDEX('Cash Flows'!$C$19:$BW$19,1,MATCH(EOMONTH(AB66,MOD(-MONTH(AB66),3)-3),'Cash Flows'!$C$4:$BW$4,0)))/$E$12)),IF(AF66&gt;0,AF66,""))</f>
        <v/>
      </c>
      <c r="AB66" s="112" t="str">
        <f t="shared" si="55"/>
        <v/>
      </c>
      <c r="AC66" s="139" t="str">
        <f>IFERROR(IF($Z66&gt;$E$12,"",IF($E$5="Uniform Inputs",INDEX($D$45:$E$53,MATCH($AA$3,$B$45:$B$53,0),MATCH(AC$4,$D$44:$E$44,0)),IF(AH66=0,"",AH66))),"")</f>
        <v/>
      </c>
      <c r="AD66" s="139" t="str">
        <f>IFERROR(IF($Z66&gt;$E$12,"",IF($E$5="Uniform Inputs",INDEX($D$45:$E$53,MATCH($AA$3,$B$45:$B$53,0),MATCH(AD$4,$D$44:$E$44,0)),IF(AI66=0,"",AI66))),"")</f>
        <v/>
      </c>
      <c r="AE66" s="10" t="str">
        <f t="shared" si="29"/>
        <v/>
      </c>
      <c r="AF66" s="11" t="s">
        <v>22</v>
      </c>
      <c r="AG66" s="168" t="s">
        <v>22</v>
      </c>
      <c r="AH66" s="11" t="s">
        <v>22</v>
      </c>
      <c r="AI66" s="11" t="s">
        <v>22</v>
      </c>
      <c r="AJ66" s="139" t="str">
        <f>IF($E$5="Uniform Inputs",IF($Z66&gt;$E$13,"",IF($E$23="Pro-Rata",MIN(AL66*AE66,(($I$5+'Cash Flows'!$BX$8+INDEX('Cash Flows'!$C$19:$BW$19,1,MATCH(EOMONTH(AK66,MOD(-MONTH(AK66),3)-3),'Cash Flows'!$C$4:$BW$4,0)))-$AA$5)/$E$13),MIN($E$24,(($I$5+'Cash Flows'!$BX$8+INDEX('Cash Flows'!$C$19:$BW$19,1,MATCH(EOMONTH(AK66,MOD(-MONTH(AK66),3)-3),'Cash Flows'!$C$4:$BW$4,0)))-$AA$5)/$E$13))),IF(AO66=0,"",AO66))</f>
        <v/>
      </c>
      <c r="AK66" s="112" t="str">
        <f t="shared" si="39"/>
        <v/>
      </c>
      <c r="AL66" s="139" t="str">
        <f>IFERROR(IF($Z66&gt;$E$12,"",IF($E$5="Uniform Inputs",INDEX($D$45:$E$53,MATCH($AJ$3,$B$45:$B$53,0),MATCH(AL$4,$D$44:$E$44,0)),IF(AQ66=0,"",AQ66))),"")</f>
        <v/>
      </c>
      <c r="AM66" s="139" t="str">
        <f>IFERROR(IF($Z66&gt;$E$12,"",IF($E$5="Uniform Inputs",INDEX($D$45:$E$53,MATCH($AJ$3,$B$45:$B$53,0),MATCH(AM$4,$D$44:$E$44,0)),IF(AR66=0,"",AR66))),"")</f>
        <v/>
      </c>
      <c r="AN66" s="10" t="str">
        <f t="shared" si="40"/>
        <v/>
      </c>
      <c r="AO66" s="11" t="s">
        <v>22</v>
      </c>
      <c r="AP66" s="168" t="s">
        <v>22</v>
      </c>
      <c r="AQ66" s="11" t="s">
        <v>22</v>
      </c>
      <c r="AR66" s="11" t="s">
        <v>22</v>
      </c>
      <c r="AS66" s="139" t="str">
        <f>IF($E$5="Uniform Inputs",IF($Z66&gt;$E$14,"",IF($E$23="Pro-Rata",MIN(AU66*AN66,(($I$5+'Cash Flows'!$BX$8+INDEX('Cash Flows'!$C$19:$BW$19,1,MATCH(EOMONTH(AT66,MOD(-MONTH(AT66),3)-3),'Cash Flows'!$C$4:$BW$4,0)))-SUM($AJ$5,$AA$5))/$E$14),MIN($E$25,(($I$5+'Cash Flows'!$BX$8+INDEX('Cash Flows'!$C$19:$BW$19,1,MATCH(EOMONTH(AT66,MOD(-MONTH(AT66),3)-3),'Cash Flows'!$C$4:$BW$4,0)))-SUM($AJ$5,$AA$5))/$E$14))),IF(AX66=0,"",AX66))</f>
        <v/>
      </c>
      <c r="AT66" s="112" t="str">
        <f t="shared" si="41"/>
        <v/>
      </c>
      <c r="AU66" s="139" t="str">
        <f>IFERROR(IF($Z66&gt;$E$12,"",IF($E$5="Uniform Inputs",INDEX($D$45:$E$53,MATCH($AS$3,$B$45:$B$53,0),MATCH(AU$4,$D$44:$E$44,0)),IF(AZ66=0,"",AZ66))),"")</f>
        <v/>
      </c>
      <c r="AV66" s="139" t="str">
        <f>IFERROR(IF($Z66&gt;$E$12,"",IF($E$5="Uniform Inputs",INDEX($D$45:$E$53,MATCH($AS$3,$B$45:$B$53,0),MATCH(AV$4,$D$44:$E$44,0)),IF(BA66=0,"",BA66))),"")</f>
        <v/>
      </c>
      <c r="AW66" s="10" t="str">
        <f t="shared" si="42"/>
        <v/>
      </c>
      <c r="AX66" s="11" t="s">
        <v>22</v>
      </c>
      <c r="AY66" s="168" t="s">
        <v>22</v>
      </c>
      <c r="AZ66" s="11" t="s">
        <v>22</v>
      </c>
      <c r="BA66" s="11" t="s">
        <v>22</v>
      </c>
      <c r="BB66" s="139" t="str">
        <f>IF($E$5="Uniform Inputs",IF($Z66&gt;$E$15,"",IF($E$23="Pro-Rata",MIN(BD66*AW66,(($I$5+'Cash Flows'!$BX$8+INDEX('Cash Flows'!$C$19:$BW$19,1,MATCH(EOMONTH(BC66,MOD(-MONTH(BC66),3)-3),'Cash Flows'!$C$4:$BW$4,0)))-SUM($AS$5,$AJ$5,$AA$5))/$E$15),MIN($E$26,(($I$5+'Cash Flows'!$BX$8+INDEX('Cash Flows'!$C$19:$BW$19,1,MATCH(EOMONTH(BC66,MOD(-MONTH(BC66),3)-3),'Cash Flows'!$C$4:$BW$4,0)))-SUM($AS$5,$AJ$5,$AA$5))/$E$15))),IF(BG66=0,"",BG66))</f>
        <v/>
      </c>
      <c r="BC66" s="112" t="str">
        <f t="shared" si="43"/>
        <v/>
      </c>
      <c r="BD66" s="139" t="str">
        <f>IFERROR(IF($Z66&gt;$E$12,"",IF($E$5="Uniform Inputs",INDEX($D$45:$E$53,MATCH($BB$3,$B$45:$B$53,0),MATCH(BD$4,$D$44:$E$44,0)),IF(BI66=0,"",BI66))),"")</f>
        <v/>
      </c>
      <c r="BE66" s="139" t="str">
        <f>IFERROR(IF($Z66&gt;$E$12,"",IF($E$5="Uniform Inputs",INDEX($D$45:$E$53,MATCH($BB$3,$B$45:$B$53,0),MATCH(BE$4,$D$44:$E$44,0)),IF(BJ66=0,"",BJ66))),"")</f>
        <v/>
      </c>
      <c r="BF66" s="10" t="str">
        <f t="shared" si="44"/>
        <v/>
      </c>
      <c r="BG66" s="11" t="s">
        <v>22</v>
      </c>
      <c r="BH66" s="168" t="s">
        <v>22</v>
      </c>
      <c r="BI66" s="11" t="s">
        <v>22</v>
      </c>
      <c r="BJ66" s="11" t="s">
        <v>22</v>
      </c>
      <c r="BK66" s="139" t="str">
        <f>IF($E$5="Uniform Inputs",IF($Z66&gt;$E$16,"",IF($E$23="Pro-Rata",MIN(BM66*BF66,(($I$5+'Cash Flows'!$BX$8+INDEX('Cash Flows'!$C$19:$BW$19,1,MATCH(EOMONTH(BL66,MOD(-MONTH(BL66),3)-3),'Cash Flows'!$C$4:$BW$4,0)))-SUM($BB$5,$AS$5,$AJ$5,$AA$5))/$E$16),MIN($E$27,(($I$5+'Cash Flows'!$BX$8+INDEX('Cash Flows'!$C$19:$BW$19,1,MATCH(EOMONTH(BL66,MOD(-MONTH(BL66),3)-3),'Cash Flows'!$C$4:$BW$4,0)))-SUM($BB$5,$AS$5,$AJ$5,$AA$5))/$E$16))),IF(BP66=0,"",BP66))</f>
        <v/>
      </c>
      <c r="BL66" s="112" t="str">
        <f t="shared" si="45"/>
        <v/>
      </c>
      <c r="BM66" s="139" t="str">
        <f>IFERROR(IF($Z66&gt;$E$12,"",IF($E$5="Uniform Inputs",INDEX($D$45:$E$53,MATCH($BK$3,$B$45:$B$53,0),MATCH(BM$4,$D$44:$E$44,0)),IF(BR66=0,"",BR66))),"")</f>
        <v/>
      </c>
      <c r="BN66" s="139" t="str">
        <f>IFERROR(IF($Z66&gt;$E$12,"",IF($E$5="Uniform Inputs",INDEX($D$45:$E$53,MATCH($BK$3,$B$45:$B$53,0),MATCH(BN$4,$D$44:$E$44,0)),IF(BS66=0,"",BS66))),"")</f>
        <v/>
      </c>
      <c r="BO66" s="10" t="str">
        <f t="shared" si="46"/>
        <v/>
      </c>
      <c r="BP66" s="11" t="s">
        <v>22</v>
      </c>
      <c r="BQ66" s="168" t="s">
        <v>22</v>
      </c>
      <c r="BR66" s="11" t="s">
        <v>22</v>
      </c>
      <c r="BS66" s="11" t="s">
        <v>22</v>
      </c>
      <c r="BT66" s="139" t="str">
        <f t="shared" si="30"/>
        <v/>
      </c>
      <c r="BU66" s="112" t="str">
        <f t="shared" si="47"/>
        <v/>
      </c>
      <c r="BV66" s="139" t="str">
        <f>IFERROR(IF($Z66&gt;$E$12,"",IF($E$5="Uniform Inputs",INDEX($D$45:$E$53,MATCH($BT$3,$B$45:$B$53,0),MATCH(BV$4,$D$44:$E$44,0)),IF(CA66=0,"",CA66))),"")</f>
        <v/>
      </c>
      <c r="BW66" s="139" t="str">
        <f>IFERROR(IF($Z66&gt;$E$12,"",IF($E$5="Uniform Inputs",INDEX($D$45:$E$53,MATCH($BT$3,$B$45:$B$53,0),MATCH(BW$4,$D$44:$E$44,0)),IF(CB66=0,"",CB66))),"")</f>
        <v/>
      </c>
      <c r="BX66" s="10" t="str">
        <f t="shared" si="48"/>
        <v/>
      </c>
      <c r="BY66" s="11" t="s">
        <v>22</v>
      </c>
      <c r="BZ66" s="168" t="s">
        <v>22</v>
      </c>
      <c r="CA66" s="11" t="s">
        <v>22</v>
      </c>
      <c r="CB66" s="11" t="s">
        <v>22</v>
      </c>
      <c r="CC66" s="139" t="str">
        <f t="shared" si="31"/>
        <v/>
      </c>
      <c r="CD66" s="112" t="str">
        <f t="shared" si="49"/>
        <v/>
      </c>
      <c r="CE66" s="139" t="str">
        <f>IFERROR(IF($Z66&gt;$E$12,"",IF($E$5="Uniform Inputs",INDEX($D$45:$E$53,MATCH($CC$3,$B$45:$B$53,0),MATCH(CE$4,$D$44:$E$44,0)),IF(CJ66=0,"",CJ66))),"")</f>
        <v/>
      </c>
      <c r="CF66" s="139" t="str">
        <f>IFERROR(IF($Z66&gt;$E$12,"",IF($E$5="Uniform Inputs",INDEX($D$45:$E$53,MATCH($CC$3,$B$45:$B$53,0),MATCH(CF$4,$D$44:$E$44,0)),IF(CK66=0,"",CK66))),"")</f>
        <v/>
      </c>
      <c r="CG66" s="10" t="str">
        <f t="shared" si="50"/>
        <v/>
      </c>
      <c r="CH66" s="11" t="s">
        <v>22</v>
      </c>
      <c r="CI66" s="168" t="s">
        <v>22</v>
      </c>
      <c r="CJ66" s="11" t="s">
        <v>22</v>
      </c>
      <c r="CK66" s="11" t="s">
        <v>22</v>
      </c>
      <c r="CL66" s="139" t="str">
        <f t="shared" si="32"/>
        <v/>
      </c>
      <c r="CM66" s="112" t="str">
        <f t="shared" si="51"/>
        <v/>
      </c>
      <c r="CN66" s="139" t="str">
        <f>IFERROR(IF($Z66&gt;$E$12,"",IF($E$5="Uniform Inputs",INDEX($D$45:$E$53,MATCH($CL$3,$B$45:$B$53,0),MATCH(CN$4,$D$44:$E$44,0)),IF(CS66=0,"",CS66))),"")</f>
        <v/>
      </c>
      <c r="CO66" s="139" t="str">
        <f>IFERROR(IF($Z66&gt;$E$12,"",IF($E$5="Uniform Inputs",INDEX($D$45:$E$53,MATCH($CL$3,$B$45:$B$53,0),MATCH(CO$4,$D$44:$E$44,0)),IF(CT66=0,"",CT66))),"")</f>
        <v/>
      </c>
      <c r="CP66" s="10" t="str">
        <f t="shared" si="52"/>
        <v/>
      </c>
      <c r="CQ66" s="11" t="s">
        <v>22</v>
      </c>
      <c r="CR66" s="168" t="s">
        <v>22</v>
      </c>
      <c r="CS66" s="11" t="s">
        <v>22</v>
      </c>
      <c r="CT66" s="11" t="s">
        <v>22</v>
      </c>
      <c r="CU66" s="139" t="str">
        <f t="shared" si="33"/>
        <v/>
      </c>
      <c r="CV66" s="112" t="str">
        <f t="shared" si="53"/>
        <v/>
      </c>
      <c r="CW66" s="139" t="str">
        <f>IFERROR(IF($Z66&gt;$E$12,"",IF($E$5="Uniform Inputs",INDEX($D$45:$E$53,MATCH($CU$3,$B$45:$B$53,0),MATCH(CW$4,$D$44:$E$44,0)),IF(DB66=0,"",DB66))),"")</f>
        <v/>
      </c>
      <c r="CX66" s="139" t="str">
        <f>IFERROR(IF($Z66&gt;$E$12,"",IF($E$5="Uniform Inputs",INDEX($D$45:$E$53,MATCH($CU$3,$B$45:$B$53,0),MATCH(CX$4,$D$44:$E$44,0)),IF(DC66=0,"",DC66))),"")</f>
        <v/>
      </c>
      <c r="CY66" s="10" t="str">
        <f t="shared" si="54"/>
        <v/>
      </c>
      <c r="CZ66" s="11" t="s">
        <v>22</v>
      </c>
      <c r="DA66" s="168" t="s">
        <v>22</v>
      </c>
      <c r="DB66" s="11" t="s">
        <v>22</v>
      </c>
      <c r="DC66" s="11" t="s">
        <v>22</v>
      </c>
    </row>
    <row r="67" spans="2:107" x14ac:dyDescent="0.25">
      <c r="B67" s="3" t="s">
        <v>22</v>
      </c>
      <c r="C67" s="3" t="s">
        <v>22</v>
      </c>
      <c r="D67" s="2" t="s">
        <v>22</v>
      </c>
      <c r="K67" s="6" t="str">
        <f t="shared" si="22"/>
        <v/>
      </c>
      <c r="O67" s="6" t="str">
        <f t="shared" si="23"/>
        <v/>
      </c>
      <c r="P67" s="35" t="str">
        <f t="shared" si="34"/>
        <v/>
      </c>
      <c r="Q67" s="102" t="str">
        <f t="shared" si="35"/>
        <v/>
      </c>
      <c r="R67" s="102" t="str">
        <f t="shared" ca="1" si="36"/>
        <v/>
      </c>
      <c r="S67" s="112" t="str">
        <f t="shared" si="24"/>
        <v/>
      </c>
      <c r="T67" s="112" t="str">
        <f t="shared" ca="1" si="37"/>
        <v/>
      </c>
      <c r="U67" s="1" t="str">
        <f t="shared" si="25"/>
        <v/>
      </c>
      <c r="V67" s="1" t="str">
        <f t="shared" ca="1" si="38"/>
        <v/>
      </c>
      <c r="W67" s="34" t="str">
        <f t="shared" ca="1" si="26"/>
        <v/>
      </c>
      <c r="Y67" s="2">
        <v>62</v>
      </c>
      <c r="Z67" s="6" t="str">
        <f t="shared" si="27"/>
        <v/>
      </c>
      <c r="AA67" s="139" t="str">
        <f>IF($E$5="Uniform Inputs",IF($Z67&gt;$E$12,"",MIN($E$21,($I$5+'Cash Flows'!$BX$8+INDEX('Cash Flows'!$C$19:$BW$19,1,MATCH(EOMONTH(AB67,MOD(-MONTH(AB67),3)-3),'Cash Flows'!$C$4:$BW$4,0)))/$E$12)),IF(AF67&gt;0,AF67,""))</f>
        <v/>
      </c>
      <c r="AB67" s="112" t="str">
        <f t="shared" si="55"/>
        <v/>
      </c>
      <c r="AC67" s="139" t="str">
        <f>IFERROR(IF($Z67&gt;$E$12,"",IF($E$5="Uniform Inputs",INDEX($D$45:$E$53,MATCH($AA$3,$B$45:$B$53,0),MATCH(AC$4,$D$44:$E$44,0)),IF(AH67=0,"",AH67))),"")</f>
        <v/>
      </c>
      <c r="AD67" s="139" t="str">
        <f>IFERROR(IF($Z67&gt;$E$12,"",IF($E$5="Uniform Inputs",INDEX($D$45:$E$53,MATCH($AA$3,$B$45:$B$53,0),MATCH(AD$4,$D$44:$E$44,0)),IF(AI67=0,"",AI67))),"")</f>
        <v/>
      </c>
      <c r="AE67" s="10" t="str">
        <f t="shared" si="29"/>
        <v/>
      </c>
      <c r="AF67" s="11" t="s">
        <v>22</v>
      </c>
      <c r="AG67" s="168" t="s">
        <v>22</v>
      </c>
      <c r="AH67" s="11" t="s">
        <v>22</v>
      </c>
      <c r="AI67" s="11" t="s">
        <v>22</v>
      </c>
      <c r="AJ67" s="139" t="str">
        <f>IF($E$5="Uniform Inputs",IF($Z67&gt;$E$13,"",IF($E$23="Pro-Rata",MIN(AL67*AE67,(($I$5+'Cash Flows'!$BX$8+INDEX('Cash Flows'!$C$19:$BW$19,1,MATCH(EOMONTH(AK67,MOD(-MONTH(AK67),3)-3),'Cash Flows'!$C$4:$BW$4,0)))-$AA$5)/$E$13),MIN($E$24,(($I$5+'Cash Flows'!$BX$8+INDEX('Cash Flows'!$C$19:$BW$19,1,MATCH(EOMONTH(AK67,MOD(-MONTH(AK67),3)-3),'Cash Flows'!$C$4:$BW$4,0)))-$AA$5)/$E$13))),IF(AO67=0,"",AO67))</f>
        <v/>
      </c>
      <c r="AK67" s="112" t="str">
        <f t="shared" si="39"/>
        <v/>
      </c>
      <c r="AL67" s="139" t="str">
        <f>IFERROR(IF($Z67&gt;$E$12,"",IF($E$5="Uniform Inputs",INDEX($D$45:$E$53,MATCH($AJ$3,$B$45:$B$53,0),MATCH(AL$4,$D$44:$E$44,0)),IF(AQ67=0,"",AQ67))),"")</f>
        <v/>
      </c>
      <c r="AM67" s="139" t="str">
        <f>IFERROR(IF($Z67&gt;$E$12,"",IF($E$5="Uniform Inputs",INDEX($D$45:$E$53,MATCH($AJ$3,$B$45:$B$53,0),MATCH(AM$4,$D$44:$E$44,0)),IF(AR67=0,"",AR67))),"")</f>
        <v/>
      </c>
      <c r="AN67" s="10" t="str">
        <f t="shared" si="40"/>
        <v/>
      </c>
      <c r="AO67" s="11" t="s">
        <v>22</v>
      </c>
      <c r="AP67" s="168" t="s">
        <v>22</v>
      </c>
      <c r="AQ67" s="11" t="s">
        <v>22</v>
      </c>
      <c r="AR67" s="11" t="s">
        <v>22</v>
      </c>
      <c r="AS67" s="139" t="str">
        <f>IF($E$5="Uniform Inputs",IF($Z67&gt;$E$14,"",IF($E$23="Pro-Rata",MIN(AU67*AN67,(($I$5+'Cash Flows'!$BX$8+INDEX('Cash Flows'!$C$19:$BW$19,1,MATCH(EOMONTH(AT67,MOD(-MONTH(AT67),3)-3),'Cash Flows'!$C$4:$BW$4,0)))-SUM($AJ$5,$AA$5))/$E$14),MIN($E$25,(($I$5+'Cash Flows'!$BX$8+INDEX('Cash Flows'!$C$19:$BW$19,1,MATCH(EOMONTH(AT67,MOD(-MONTH(AT67),3)-3),'Cash Flows'!$C$4:$BW$4,0)))-SUM($AJ$5,$AA$5))/$E$14))),IF(AX67=0,"",AX67))</f>
        <v/>
      </c>
      <c r="AT67" s="112" t="str">
        <f t="shared" si="41"/>
        <v/>
      </c>
      <c r="AU67" s="139" t="str">
        <f>IFERROR(IF($Z67&gt;$E$12,"",IF($E$5="Uniform Inputs",INDEX($D$45:$E$53,MATCH($AS$3,$B$45:$B$53,0),MATCH(AU$4,$D$44:$E$44,0)),IF(AZ67=0,"",AZ67))),"")</f>
        <v/>
      </c>
      <c r="AV67" s="139" t="str">
        <f>IFERROR(IF($Z67&gt;$E$12,"",IF($E$5="Uniform Inputs",INDEX($D$45:$E$53,MATCH($AS$3,$B$45:$B$53,0),MATCH(AV$4,$D$44:$E$44,0)),IF(BA67=0,"",BA67))),"")</f>
        <v/>
      </c>
      <c r="AW67" s="10" t="str">
        <f t="shared" si="42"/>
        <v/>
      </c>
      <c r="AX67" s="11" t="s">
        <v>22</v>
      </c>
      <c r="AY67" s="168" t="s">
        <v>22</v>
      </c>
      <c r="AZ67" s="11" t="s">
        <v>22</v>
      </c>
      <c r="BA67" s="11" t="s">
        <v>22</v>
      </c>
      <c r="BB67" s="139" t="str">
        <f>IF($E$5="Uniform Inputs",IF($Z67&gt;$E$15,"",IF($E$23="Pro-Rata",MIN(BD67*AW67,(($I$5+'Cash Flows'!$BX$8+INDEX('Cash Flows'!$C$19:$BW$19,1,MATCH(EOMONTH(BC67,MOD(-MONTH(BC67),3)-3),'Cash Flows'!$C$4:$BW$4,0)))-SUM($AS$5,$AJ$5,$AA$5))/$E$15),MIN($E$26,(($I$5+'Cash Flows'!$BX$8+INDEX('Cash Flows'!$C$19:$BW$19,1,MATCH(EOMONTH(BC67,MOD(-MONTH(BC67),3)-3),'Cash Flows'!$C$4:$BW$4,0)))-SUM($AS$5,$AJ$5,$AA$5))/$E$15))),IF(BG67=0,"",BG67))</f>
        <v/>
      </c>
      <c r="BC67" s="112" t="str">
        <f t="shared" si="43"/>
        <v/>
      </c>
      <c r="BD67" s="139" t="str">
        <f>IFERROR(IF($Z67&gt;$E$12,"",IF($E$5="Uniform Inputs",INDEX($D$45:$E$53,MATCH($BB$3,$B$45:$B$53,0),MATCH(BD$4,$D$44:$E$44,0)),IF(BI67=0,"",BI67))),"")</f>
        <v/>
      </c>
      <c r="BE67" s="139" t="str">
        <f>IFERROR(IF($Z67&gt;$E$12,"",IF($E$5="Uniform Inputs",INDEX($D$45:$E$53,MATCH($BB$3,$B$45:$B$53,0),MATCH(BE$4,$D$44:$E$44,0)),IF(BJ67=0,"",BJ67))),"")</f>
        <v/>
      </c>
      <c r="BF67" s="10" t="str">
        <f t="shared" si="44"/>
        <v/>
      </c>
      <c r="BG67" s="11" t="s">
        <v>22</v>
      </c>
      <c r="BH67" s="168" t="s">
        <v>22</v>
      </c>
      <c r="BI67" s="11" t="s">
        <v>22</v>
      </c>
      <c r="BJ67" s="11" t="s">
        <v>22</v>
      </c>
      <c r="BK67" s="139" t="str">
        <f>IF($E$5="Uniform Inputs",IF($Z67&gt;$E$16,"",IF($E$23="Pro-Rata",MIN(BM67*BF67,(($I$5+'Cash Flows'!$BX$8+INDEX('Cash Flows'!$C$19:$BW$19,1,MATCH(EOMONTH(BL67,MOD(-MONTH(BL67),3)-3),'Cash Flows'!$C$4:$BW$4,0)))-SUM($BB$5,$AS$5,$AJ$5,$AA$5))/$E$16),MIN($E$27,(($I$5+'Cash Flows'!$BX$8+INDEX('Cash Flows'!$C$19:$BW$19,1,MATCH(EOMONTH(BL67,MOD(-MONTH(BL67),3)-3),'Cash Flows'!$C$4:$BW$4,0)))-SUM($BB$5,$AS$5,$AJ$5,$AA$5))/$E$16))),IF(BP67=0,"",BP67))</f>
        <v/>
      </c>
      <c r="BL67" s="112" t="str">
        <f t="shared" si="45"/>
        <v/>
      </c>
      <c r="BM67" s="139" t="str">
        <f>IFERROR(IF($Z67&gt;$E$12,"",IF($E$5="Uniform Inputs",INDEX($D$45:$E$53,MATCH($BK$3,$B$45:$B$53,0),MATCH(BM$4,$D$44:$E$44,0)),IF(BR67=0,"",BR67))),"")</f>
        <v/>
      </c>
      <c r="BN67" s="139" t="str">
        <f>IFERROR(IF($Z67&gt;$E$12,"",IF($E$5="Uniform Inputs",INDEX($D$45:$E$53,MATCH($BK$3,$B$45:$B$53,0),MATCH(BN$4,$D$44:$E$44,0)),IF(BS67=0,"",BS67))),"")</f>
        <v/>
      </c>
      <c r="BO67" s="10" t="str">
        <f t="shared" si="46"/>
        <v/>
      </c>
      <c r="BP67" s="11" t="s">
        <v>22</v>
      </c>
      <c r="BQ67" s="168" t="s">
        <v>22</v>
      </c>
      <c r="BR67" s="11" t="s">
        <v>22</v>
      </c>
      <c r="BS67" s="11" t="s">
        <v>22</v>
      </c>
      <c r="BT67" s="139" t="str">
        <f t="shared" si="30"/>
        <v/>
      </c>
      <c r="BU67" s="112" t="str">
        <f t="shared" si="47"/>
        <v/>
      </c>
      <c r="BV67" s="139" t="str">
        <f>IFERROR(IF($Z67&gt;$E$12,"",IF($E$5="Uniform Inputs",INDEX($D$45:$E$53,MATCH($BT$3,$B$45:$B$53,0),MATCH(BV$4,$D$44:$E$44,0)),IF(CA67=0,"",CA67))),"")</f>
        <v/>
      </c>
      <c r="BW67" s="139" t="str">
        <f>IFERROR(IF($Z67&gt;$E$12,"",IF($E$5="Uniform Inputs",INDEX($D$45:$E$53,MATCH($BT$3,$B$45:$B$53,0),MATCH(BW$4,$D$44:$E$44,0)),IF(CB67=0,"",CB67))),"")</f>
        <v/>
      </c>
      <c r="BX67" s="10" t="str">
        <f t="shared" si="48"/>
        <v/>
      </c>
      <c r="BY67" s="11" t="s">
        <v>22</v>
      </c>
      <c r="BZ67" s="168" t="s">
        <v>22</v>
      </c>
      <c r="CA67" s="11" t="s">
        <v>22</v>
      </c>
      <c r="CB67" s="11" t="s">
        <v>22</v>
      </c>
      <c r="CC67" s="139" t="str">
        <f t="shared" si="31"/>
        <v/>
      </c>
      <c r="CD67" s="112" t="str">
        <f t="shared" si="49"/>
        <v/>
      </c>
      <c r="CE67" s="139" t="str">
        <f>IFERROR(IF($Z67&gt;$E$12,"",IF($E$5="Uniform Inputs",INDEX($D$45:$E$53,MATCH($CC$3,$B$45:$B$53,0),MATCH(CE$4,$D$44:$E$44,0)),IF(CJ67=0,"",CJ67))),"")</f>
        <v/>
      </c>
      <c r="CF67" s="139" t="str">
        <f>IFERROR(IF($Z67&gt;$E$12,"",IF($E$5="Uniform Inputs",INDEX($D$45:$E$53,MATCH($CC$3,$B$45:$B$53,0),MATCH(CF$4,$D$44:$E$44,0)),IF(CK67=0,"",CK67))),"")</f>
        <v/>
      </c>
      <c r="CG67" s="10" t="str">
        <f t="shared" si="50"/>
        <v/>
      </c>
      <c r="CH67" s="11" t="s">
        <v>22</v>
      </c>
      <c r="CI67" s="168" t="s">
        <v>22</v>
      </c>
      <c r="CJ67" s="11" t="s">
        <v>22</v>
      </c>
      <c r="CK67" s="11" t="s">
        <v>22</v>
      </c>
      <c r="CL67" s="139" t="str">
        <f t="shared" si="32"/>
        <v/>
      </c>
      <c r="CM67" s="112" t="str">
        <f t="shared" si="51"/>
        <v/>
      </c>
      <c r="CN67" s="139" t="str">
        <f>IFERROR(IF($Z67&gt;$E$12,"",IF($E$5="Uniform Inputs",INDEX($D$45:$E$53,MATCH($CL$3,$B$45:$B$53,0),MATCH(CN$4,$D$44:$E$44,0)),IF(CS67=0,"",CS67))),"")</f>
        <v/>
      </c>
      <c r="CO67" s="139" t="str">
        <f>IFERROR(IF($Z67&gt;$E$12,"",IF($E$5="Uniform Inputs",INDEX($D$45:$E$53,MATCH($CL$3,$B$45:$B$53,0),MATCH(CO$4,$D$44:$E$44,0)),IF(CT67=0,"",CT67))),"")</f>
        <v/>
      </c>
      <c r="CP67" s="10" t="str">
        <f t="shared" si="52"/>
        <v/>
      </c>
      <c r="CQ67" s="11" t="s">
        <v>22</v>
      </c>
      <c r="CR67" s="168" t="s">
        <v>22</v>
      </c>
      <c r="CS67" s="11" t="s">
        <v>22</v>
      </c>
      <c r="CT67" s="11" t="s">
        <v>22</v>
      </c>
      <c r="CU67" s="139" t="str">
        <f t="shared" si="33"/>
        <v/>
      </c>
      <c r="CV67" s="112" t="str">
        <f t="shared" si="53"/>
        <v/>
      </c>
      <c r="CW67" s="139" t="str">
        <f>IFERROR(IF($Z67&gt;$E$12,"",IF($E$5="Uniform Inputs",INDEX($D$45:$E$53,MATCH($CU$3,$B$45:$B$53,0),MATCH(CW$4,$D$44:$E$44,0)),IF(DB67=0,"",DB67))),"")</f>
        <v/>
      </c>
      <c r="CX67" s="139" t="str">
        <f>IFERROR(IF($Z67&gt;$E$12,"",IF($E$5="Uniform Inputs",INDEX($D$45:$E$53,MATCH($CU$3,$B$45:$B$53,0),MATCH(CX$4,$D$44:$E$44,0)),IF(DC67=0,"",DC67))),"")</f>
        <v/>
      </c>
      <c r="CY67" s="10" t="str">
        <f t="shared" si="54"/>
        <v/>
      </c>
      <c r="CZ67" s="11" t="s">
        <v>22</v>
      </c>
      <c r="DA67" s="168" t="s">
        <v>22</v>
      </c>
      <c r="DB67" s="11" t="s">
        <v>22</v>
      </c>
      <c r="DC67" s="11" t="s">
        <v>22</v>
      </c>
    </row>
    <row r="68" spans="2:107" x14ac:dyDescent="0.25">
      <c r="B68" s="3" t="s">
        <v>22</v>
      </c>
      <c r="C68" s="3" t="s">
        <v>22</v>
      </c>
      <c r="D68" s="2" t="s">
        <v>22</v>
      </c>
      <c r="K68" s="6" t="str">
        <f t="shared" si="22"/>
        <v/>
      </c>
      <c r="O68" s="6" t="str">
        <f t="shared" si="23"/>
        <v/>
      </c>
      <c r="P68" s="35" t="str">
        <f t="shared" si="34"/>
        <v/>
      </c>
      <c r="Q68" s="102" t="str">
        <f t="shared" si="35"/>
        <v/>
      </c>
      <c r="R68" s="102" t="str">
        <f t="shared" ca="1" si="36"/>
        <v/>
      </c>
      <c r="S68" s="112" t="str">
        <f t="shared" si="24"/>
        <v/>
      </c>
      <c r="T68" s="112" t="str">
        <f t="shared" ca="1" si="37"/>
        <v/>
      </c>
      <c r="U68" s="1" t="str">
        <f t="shared" si="25"/>
        <v/>
      </c>
      <c r="V68" s="1" t="str">
        <f t="shared" ca="1" si="38"/>
        <v/>
      </c>
      <c r="W68" s="34" t="str">
        <f t="shared" ca="1" si="26"/>
        <v/>
      </c>
      <c r="Y68" s="2">
        <v>63</v>
      </c>
      <c r="Z68" s="6" t="str">
        <f t="shared" si="27"/>
        <v/>
      </c>
      <c r="AA68" s="139" t="str">
        <f>IF($E$5="Uniform Inputs",IF($Z68&gt;$E$12,"",MIN($E$21,($I$5+'Cash Flows'!$BX$8+INDEX('Cash Flows'!$C$19:$BW$19,1,MATCH(EOMONTH(AB68,MOD(-MONTH(AB68),3)-3),'Cash Flows'!$C$4:$BW$4,0)))/$E$12)),IF(AF68&gt;0,AF68,""))</f>
        <v/>
      </c>
      <c r="AB68" s="112" t="str">
        <f t="shared" si="55"/>
        <v/>
      </c>
      <c r="AC68" s="139" t="str">
        <f>IFERROR(IF($Z68&gt;$E$12,"",IF($E$5="Uniform Inputs",INDEX($D$45:$E$53,MATCH($AA$3,$B$45:$B$53,0),MATCH(AC$4,$D$44:$E$44,0)),IF(AH68=0,"",AH68))),"")</f>
        <v/>
      </c>
      <c r="AD68" s="139" t="str">
        <f>IFERROR(IF($Z68&gt;$E$12,"",IF($E$5="Uniform Inputs",INDEX($D$45:$E$53,MATCH($AA$3,$B$45:$B$53,0),MATCH(AD$4,$D$44:$E$44,0)),IF(AI68=0,"",AI68))),"")</f>
        <v/>
      </c>
      <c r="AE68" s="10" t="str">
        <f t="shared" si="29"/>
        <v/>
      </c>
      <c r="AF68" s="11" t="s">
        <v>22</v>
      </c>
      <c r="AG68" s="168" t="s">
        <v>22</v>
      </c>
      <c r="AH68" s="11" t="s">
        <v>22</v>
      </c>
      <c r="AI68" s="11" t="s">
        <v>22</v>
      </c>
      <c r="AJ68" s="139" t="str">
        <f>IF($E$5="Uniform Inputs",IF($Z68&gt;$E$13,"",IF($E$23="Pro-Rata",MIN(AL68*AE68,(($I$5+'Cash Flows'!$BX$8+INDEX('Cash Flows'!$C$19:$BW$19,1,MATCH(EOMONTH(AK68,MOD(-MONTH(AK68),3)-3),'Cash Flows'!$C$4:$BW$4,0)))-$AA$5)/$E$13),MIN($E$24,(($I$5+'Cash Flows'!$BX$8+INDEX('Cash Flows'!$C$19:$BW$19,1,MATCH(EOMONTH(AK68,MOD(-MONTH(AK68),3)-3),'Cash Flows'!$C$4:$BW$4,0)))-$AA$5)/$E$13))),IF(AO68=0,"",AO68))</f>
        <v/>
      </c>
      <c r="AK68" s="112" t="str">
        <f t="shared" si="39"/>
        <v/>
      </c>
      <c r="AL68" s="139" t="str">
        <f>IFERROR(IF($Z68&gt;$E$12,"",IF($E$5="Uniform Inputs",INDEX($D$45:$E$53,MATCH($AJ$3,$B$45:$B$53,0),MATCH(AL$4,$D$44:$E$44,0)),IF(AQ68=0,"",AQ68))),"")</f>
        <v/>
      </c>
      <c r="AM68" s="139" t="str">
        <f>IFERROR(IF($Z68&gt;$E$12,"",IF($E$5="Uniform Inputs",INDEX($D$45:$E$53,MATCH($AJ$3,$B$45:$B$53,0),MATCH(AM$4,$D$44:$E$44,0)),IF(AR68=0,"",AR68))),"")</f>
        <v/>
      </c>
      <c r="AN68" s="10" t="str">
        <f t="shared" si="40"/>
        <v/>
      </c>
      <c r="AO68" s="11" t="s">
        <v>22</v>
      </c>
      <c r="AP68" s="168" t="s">
        <v>22</v>
      </c>
      <c r="AQ68" s="11" t="s">
        <v>22</v>
      </c>
      <c r="AR68" s="11" t="s">
        <v>22</v>
      </c>
      <c r="AS68" s="139" t="str">
        <f>IF($E$5="Uniform Inputs",IF($Z68&gt;$E$14,"",IF($E$23="Pro-Rata",MIN(AU68*AN68,(($I$5+'Cash Flows'!$BX$8+INDEX('Cash Flows'!$C$19:$BW$19,1,MATCH(EOMONTH(AT68,MOD(-MONTH(AT68),3)-3),'Cash Flows'!$C$4:$BW$4,0)))-SUM($AJ$5,$AA$5))/$E$14),MIN($E$25,(($I$5+'Cash Flows'!$BX$8+INDEX('Cash Flows'!$C$19:$BW$19,1,MATCH(EOMONTH(AT68,MOD(-MONTH(AT68),3)-3),'Cash Flows'!$C$4:$BW$4,0)))-SUM($AJ$5,$AA$5))/$E$14))),IF(AX68=0,"",AX68))</f>
        <v/>
      </c>
      <c r="AT68" s="112" t="str">
        <f t="shared" si="41"/>
        <v/>
      </c>
      <c r="AU68" s="139" t="str">
        <f>IFERROR(IF($Z68&gt;$E$12,"",IF($E$5="Uniform Inputs",INDEX($D$45:$E$53,MATCH($AS$3,$B$45:$B$53,0),MATCH(AU$4,$D$44:$E$44,0)),IF(AZ68=0,"",AZ68))),"")</f>
        <v/>
      </c>
      <c r="AV68" s="139" t="str">
        <f>IFERROR(IF($Z68&gt;$E$12,"",IF($E$5="Uniform Inputs",INDEX($D$45:$E$53,MATCH($AS$3,$B$45:$B$53,0),MATCH(AV$4,$D$44:$E$44,0)),IF(BA68=0,"",BA68))),"")</f>
        <v/>
      </c>
      <c r="AW68" s="10" t="str">
        <f t="shared" si="42"/>
        <v/>
      </c>
      <c r="AX68" s="11" t="s">
        <v>22</v>
      </c>
      <c r="AY68" s="168" t="s">
        <v>22</v>
      </c>
      <c r="AZ68" s="11" t="s">
        <v>22</v>
      </c>
      <c r="BA68" s="11" t="s">
        <v>22</v>
      </c>
      <c r="BB68" s="139" t="str">
        <f>IF($E$5="Uniform Inputs",IF($Z68&gt;$E$15,"",IF($E$23="Pro-Rata",MIN(BD68*AW68,(($I$5+'Cash Flows'!$BX$8+INDEX('Cash Flows'!$C$19:$BW$19,1,MATCH(EOMONTH(BC68,MOD(-MONTH(BC68),3)-3),'Cash Flows'!$C$4:$BW$4,0)))-SUM($AS$5,$AJ$5,$AA$5))/$E$15),MIN($E$26,(($I$5+'Cash Flows'!$BX$8+INDEX('Cash Flows'!$C$19:$BW$19,1,MATCH(EOMONTH(BC68,MOD(-MONTH(BC68),3)-3),'Cash Flows'!$C$4:$BW$4,0)))-SUM($AS$5,$AJ$5,$AA$5))/$E$15))),IF(BG68=0,"",BG68))</f>
        <v/>
      </c>
      <c r="BC68" s="112" t="str">
        <f t="shared" si="43"/>
        <v/>
      </c>
      <c r="BD68" s="139" t="str">
        <f>IFERROR(IF($Z68&gt;$E$12,"",IF($E$5="Uniform Inputs",INDEX($D$45:$E$53,MATCH($BB$3,$B$45:$B$53,0),MATCH(BD$4,$D$44:$E$44,0)),IF(BI68=0,"",BI68))),"")</f>
        <v/>
      </c>
      <c r="BE68" s="139" t="str">
        <f>IFERROR(IF($Z68&gt;$E$12,"",IF($E$5="Uniform Inputs",INDEX($D$45:$E$53,MATCH($BB$3,$B$45:$B$53,0),MATCH(BE$4,$D$44:$E$44,0)),IF(BJ68=0,"",BJ68))),"")</f>
        <v/>
      </c>
      <c r="BF68" s="10" t="str">
        <f t="shared" si="44"/>
        <v/>
      </c>
      <c r="BG68" s="11" t="s">
        <v>22</v>
      </c>
      <c r="BH68" s="168" t="s">
        <v>22</v>
      </c>
      <c r="BI68" s="11" t="s">
        <v>22</v>
      </c>
      <c r="BJ68" s="11" t="s">
        <v>22</v>
      </c>
      <c r="BK68" s="139" t="str">
        <f>IF($E$5="Uniform Inputs",IF($Z68&gt;$E$16,"",IF($E$23="Pro-Rata",MIN(BM68*BF68,(($I$5+'Cash Flows'!$BX$8+INDEX('Cash Flows'!$C$19:$BW$19,1,MATCH(EOMONTH(BL68,MOD(-MONTH(BL68),3)-3),'Cash Flows'!$C$4:$BW$4,0)))-SUM($BB$5,$AS$5,$AJ$5,$AA$5))/$E$16),MIN($E$27,(($I$5+'Cash Flows'!$BX$8+INDEX('Cash Flows'!$C$19:$BW$19,1,MATCH(EOMONTH(BL68,MOD(-MONTH(BL68),3)-3),'Cash Flows'!$C$4:$BW$4,0)))-SUM($BB$5,$AS$5,$AJ$5,$AA$5))/$E$16))),IF(BP68=0,"",BP68))</f>
        <v/>
      </c>
      <c r="BL68" s="112" t="str">
        <f t="shared" si="45"/>
        <v/>
      </c>
      <c r="BM68" s="139" t="str">
        <f>IFERROR(IF($Z68&gt;$E$12,"",IF($E$5="Uniform Inputs",INDEX($D$45:$E$53,MATCH($BK$3,$B$45:$B$53,0),MATCH(BM$4,$D$44:$E$44,0)),IF(BR68=0,"",BR68))),"")</f>
        <v/>
      </c>
      <c r="BN68" s="139" t="str">
        <f>IFERROR(IF($Z68&gt;$E$12,"",IF($E$5="Uniform Inputs",INDEX($D$45:$E$53,MATCH($BK$3,$B$45:$B$53,0),MATCH(BN$4,$D$44:$E$44,0)),IF(BS68=0,"",BS68))),"")</f>
        <v/>
      </c>
      <c r="BO68" s="10" t="str">
        <f t="shared" si="46"/>
        <v/>
      </c>
      <c r="BP68" s="11" t="s">
        <v>22</v>
      </c>
      <c r="BQ68" s="168" t="s">
        <v>22</v>
      </c>
      <c r="BR68" s="11" t="s">
        <v>22</v>
      </c>
      <c r="BS68" s="11" t="s">
        <v>22</v>
      </c>
      <c r="BT68" s="139" t="str">
        <f t="shared" si="30"/>
        <v/>
      </c>
      <c r="BU68" s="112" t="str">
        <f t="shared" si="47"/>
        <v/>
      </c>
      <c r="BV68" s="139" t="str">
        <f>IFERROR(IF($Z68&gt;$E$12,"",IF($E$5="Uniform Inputs",INDEX($D$45:$E$53,MATCH($BT$3,$B$45:$B$53,0),MATCH(BV$4,$D$44:$E$44,0)),IF(CA68=0,"",CA68))),"")</f>
        <v/>
      </c>
      <c r="BW68" s="139" t="str">
        <f>IFERROR(IF($Z68&gt;$E$12,"",IF($E$5="Uniform Inputs",INDEX($D$45:$E$53,MATCH($BT$3,$B$45:$B$53,0),MATCH(BW$4,$D$44:$E$44,0)),IF(CB68=0,"",CB68))),"")</f>
        <v/>
      </c>
      <c r="BX68" s="10" t="str">
        <f t="shared" si="48"/>
        <v/>
      </c>
      <c r="BY68" s="11" t="s">
        <v>22</v>
      </c>
      <c r="BZ68" s="168" t="s">
        <v>22</v>
      </c>
      <c r="CA68" s="11" t="s">
        <v>22</v>
      </c>
      <c r="CB68" s="11" t="s">
        <v>22</v>
      </c>
      <c r="CC68" s="139" t="str">
        <f t="shared" si="31"/>
        <v/>
      </c>
      <c r="CD68" s="112" t="str">
        <f t="shared" si="49"/>
        <v/>
      </c>
      <c r="CE68" s="139" t="str">
        <f>IFERROR(IF($Z68&gt;$E$12,"",IF($E$5="Uniform Inputs",INDEX($D$45:$E$53,MATCH($CC$3,$B$45:$B$53,0),MATCH(CE$4,$D$44:$E$44,0)),IF(CJ68=0,"",CJ68))),"")</f>
        <v/>
      </c>
      <c r="CF68" s="139" t="str">
        <f>IFERROR(IF($Z68&gt;$E$12,"",IF($E$5="Uniform Inputs",INDEX($D$45:$E$53,MATCH($CC$3,$B$45:$B$53,0),MATCH(CF$4,$D$44:$E$44,0)),IF(CK68=0,"",CK68))),"")</f>
        <v/>
      </c>
      <c r="CG68" s="10" t="str">
        <f t="shared" si="50"/>
        <v/>
      </c>
      <c r="CH68" s="11" t="s">
        <v>22</v>
      </c>
      <c r="CI68" s="168" t="s">
        <v>22</v>
      </c>
      <c r="CJ68" s="11" t="s">
        <v>22</v>
      </c>
      <c r="CK68" s="11" t="s">
        <v>22</v>
      </c>
      <c r="CL68" s="139" t="str">
        <f t="shared" si="32"/>
        <v/>
      </c>
      <c r="CM68" s="112" t="str">
        <f t="shared" si="51"/>
        <v/>
      </c>
      <c r="CN68" s="139" t="str">
        <f>IFERROR(IF($Z68&gt;$E$12,"",IF($E$5="Uniform Inputs",INDEX($D$45:$E$53,MATCH($CL$3,$B$45:$B$53,0),MATCH(CN$4,$D$44:$E$44,0)),IF(CS68=0,"",CS68))),"")</f>
        <v/>
      </c>
      <c r="CO68" s="139" t="str">
        <f>IFERROR(IF($Z68&gt;$E$12,"",IF($E$5="Uniform Inputs",INDEX($D$45:$E$53,MATCH($CL$3,$B$45:$B$53,0),MATCH(CO$4,$D$44:$E$44,0)),IF(CT68=0,"",CT68))),"")</f>
        <v/>
      </c>
      <c r="CP68" s="10" t="str">
        <f t="shared" si="52"/>
        <v/>
      </c>
      <c r="CQ68" s="11" t="s">
        <v>22</v>
      </c>
      <c r="CR68" s="168" t="s">
        <v>22</v>
      </c>
      <c r="CS68" s="11" t="s">
        <v>22</v>
      </c>
      <c r="CT68" s="11" t="s">
        <v>22</v>
      </c>
      <c r="CU68" s="139" t="str">
        <f t="shared" si="33"/>
        <v/>
      </c>
      <c r="CV68" s="112" t="str">
        <f t="shared" si="53"/>
        <v/>
      </c>
      <c r="CW68" s="139" t="str">
        <f>IFERROR(IF($Z68&gt;$E$12,"",IF($E$5="Uniform Inputs",INDEX($D$45:$E$53,MATCH($CU$3,$B$45:$B$53,0),MATCH(CW$4,$D$44:$E$44,0)),IF(DB68=0,"",DB68))),"")</f>
        <v/>
      </c>
      <c r="CX68" s="139" t="str">
        <f>IFERROR(IF($Z68&gt;$E$12,"",IF($E$5="Uniform Inputs",INDEX($D$45:$E$53,MATCH($CU$3,$B$45:$B$53,0),MATCH(CX$4,$D$44:$E$44,0)),IF(DC68=0,"",DC68))),"")</f>
        <v/>
      </c>
      <c r="CY68" s="10" t="str">
        <f t="shared" si="54"/>
        <v/>
      </c>
      <c r="CZ68" s="11" t="s">
        <v>22</v>
      </c>
      <c r="DA68" s="168" t="s">
        <v>22</v>
      </c>
      <c r="DB68" s="11" t="s">
        <v>22</v>
      </c>
      <c r="DC68" s="11" t="s">
        <v>22</v>
      </c>
    </row>
    <row r="69" spans="2:107" x14ac:dyDescent="0.25">
      <c r="B69" s="3" t="s">
        <v>22</v>
      </c>
      <c r="C69" s="3" t="s">
        <v>22</v>
      </c>
      <c r="D69" s="2" t="s">
        <v>22</v>
      </c>
      <c r="K69" s="6" t="str">
        <f t="shared" si="22"/>
        <v/>
      </c>
      <c r="O69" s="6" t="str">
        <f t="shared" si="23"/>
        <v/>
      </c>
      <c r="P69" s="35" t="str">
        <f t="shared" si="34"/>
        <v/>
      </c>
      <c r="Q69" s="102" t="str">
        <f t="shared" si="35"/>
        <v/>
      </c>
      <c r="R69" s="102" t="str">
        <f t="shared" ca="1" si="36"/>
        <v/>
      </c>
      <c r="S69" s="112" t="str">
        <f t="shared" si="24"/>
        <v/>
      </c>
      <c r="T69" s="112" t="str">
        <f t="shared" ca="1" si="37"/>
        <v/>
      </c>
      <c r="U69" s="1" t="str">
        <f t="shared" si="25"/>
        <v/>
      </c>
      <c r="V69" s="1" t="str">
        <f t="shared" ca="1" si="38"/>
        <v/>
      </c>
      <c r="W69" s="34" t="str">
        <f t="shared" ca="1" si="26"/>
        <v/>
      </c>
      <c r="Y69" s="2">
        <v>64</v>
      </c>
      <c r="Z69" s="6" t="str">
        <f t="shared" si="27"/>
        <v/>
      </c>
      <c r="AA69" s="139" t="str">
        <f>IF($E$5="Uniform Inputs",IF($Z69&gt;$E$12,"",MIN($E$21,($I$5+'Cash Flows'!$BX$8+INDEX('Cash Flows'!$C$19:$BW$19,1,MATCH(EOMONTH(AB69,MOD(-MONTH(AB69),3)-3),'Cash Flows'!$C$4:$BW$4,0)))/$E$12)),IF(AF69&gt;0,AF69,""))</f>
        <v/>
      </c>
      <c r="AB69" s="112" t="str">
        <f t="shared" si="55"/>
        <v/>
      </c>
      <c r="AC69" s="139" t="str">
        <f>IFERROR(IF($Z69&gt;$E$12,"",IF($E$5="Uniform Inputs",INDEX($D$45:$E$53,MATCH($AA$3,$B$45:$B$53,0),MATCH(AC$4,$D$44:$E$44,0)),IF(AH69=0,"",AH69))),"")</f>
        <v/>
      </c>
      <c r="AD69" s="139" t="str">
        <f>IFERROR(IF($Z69&gt;$E$12,"",IF($E$5="Uniform Inputs",INDEX($D$45:$E$53,MATCH($AA$3,$B$45:$B$53,0),MATCH(AD$4,$D$44:$E$44,0)),IF(AI69=0,"",AI69))),"")</f>
        <v/>
      </c>
      <c r="AE69" s="10" t="str">
        <f t="shared" si="29"/>
        <v/>
      </c>
      <c r="AF69" s="11" t="s">
        <v>22</v>
      </c>
      <c r="AG69" s="168" t="s">
        <v>22</v>
      </c>
      <c r="AH69" s="11" t="s">
        <v>22</v>
      </c>
      <c r="AI69" s="11" t="s">
        <v>22</v>
      </c>
      <c r="AJ69" s="139" t="str">
        <f>IF($E$5="Uniform Inputs",IF($Z69&gt;$E$13,"",IF($E$23="Pro-Rata",MIN(AL69*AE69,(($I$5+'Cash Flows'!$BX$8+INDEX('Cash Flows'!$C$19:$BW$19,1,MATCH(EOMONTH(AK69,MOD(-MONTH(AK69),3)-3),'Cash Flows'!$C$4:$BW$4,0)))-$AA$5)/$E$13),MIN($E$24,(($I$5+'Cash Flows'!$BX$8+INDEX('Cash Flows'!$C$19:$BW$19,1,MATCH(EOMONTH(AK69,MOD(-MONTH(AK69),3)-3),'Cash Flows'!$C$4:$BW$4,0)))-$AA$5)/$E$13))),IF(AO69=0,"",AO69))</f>
        <v/>
      </c>
      <c r="AK69" s="112" t="str">
        <f t="shared" si="39"/>
        <v/>
      </c>
      <c r="AL69" s="139" t="str">
        <f>IFERROR(IF($Z69&gt;$E$12,"",IF($E$5="Uniform Inputs",INDEX($D$45:$E$53,MATCH($AJ$3,$B$45:$B$53,0),MATCH(AL$4,$D$44:$E$44,0)),IF(AQ69=0,"",AQ69))),"")</f>
        <v/>
      </c>
      <c r="AM69" s="139" t="str">
        <f>IFERROR(IF($Z69&gt;$E$12,"",IF($E$5="Uniform Inputs",INDEX($D$45:$E$53,MATCH($AJ$3,$B$45:$B$53,0),MATCH(AM$4,$D$44:$E$44,0)),IF(AR69=0,"",AR69))),"")</f>
        <v/>
      </c>
      <c r="AN69" s="10" t="str">
        <f t="shared" si="40"/>
        <v/>
      </c>
      <c r="AO69" s="11" t="s">
        <v>22</v>
      </c>
      <c r="AP69" s="168" t="s">
        <v>22</v>
      </c>
      <c r="AQ69" s="11" t="s">
        <v>22</v>
      </c>
      <c r="AR69" s="11" t="s">
        <v>22</v>
      </c>
      <c r="AS69" s="139" t="str">
        <f>IF($E$5="Uniform Inputs",IF($Z69&gt;$E$14,"",IF($E$23="Pro-Rata",MIN(AU69*AN69,(($I$5+'Cash Flows'!$BX$8+INDEX('Cash Flows'!$C$19:$BW$19,1,MATCH(EOMONTH(AT69,MOD(-MONTH(AT69),3)-3),'Cash Flows'!$C$4:$BW$4,0)))-SUM($AJ$5,$AA$5))/$E$14),MIN($E$25,(($I$5+'Cash Flows'!$BX$8+INDEX('Cash Flows'!$C$19:$BW$19,1,MATCH(EOMONTH(AT69,MOD(-MONTH(AT69),3)-3),'Cash Flows'!$C$4:$BW$4,0)))-SUM($AJ$5,$AA$5))/$E$14))),IF(AX69=0,"",AX69))</f>
        <v/>
      </c>
      <c r="AT69" s="112" t="str">
        <f t="shared" si="41"/>
        <v/>
      </c>
      <c r="AU69" s="139" t="str">
        <f>IFERROR(IF($Z69&gt;$E$12,"",IF($E$5="Uniform Inputs",INDEX($D$45:$E$53,MATCH($AS$3,$B$45:$B$53,0),MATCH(AU$4,$D$44:$E$44,0)),IF(AZ69=0,"",AZ69))),"")</f>
        <v/>
      </c>
      <c r="AV69" s="139" t="str">
        <f>IFERROR(IF($Z69&gt;$E$12,"",IF($E$5="Uniform Inputs",INDEX($D$45:$E$53,MATCH($AS$3,$B$45:$B$53,0),MATCH(AV$4,$D$44:$E$44,0)),IF(BA69=0,"",BA69))),"")</f>
        <v/>
      </c>
      <c r="AW69" s="10" t="str">
        <f t="shared" si="42"/>
        <v/>
      </c>
      <c r="AX69" s="11" t="s">
        <v>22</v>
      </c>
      <c r="AY69" s="168" t="s">
        <v>22</v>
      </c>
      <c r="AZ69" s="11" t="s">
        <v>22</v>
      </c>
      <c r="BA69" s="11" t="s">
        <v>22</v>
      </c>
      <c r="BB69" s="139" t="str">
        <f>IF($E$5="Uniform Inputs",IF($Z69&gt;$E$15,"",IF($E$23="Pro-Rata",MIN(BD69*AW69,(($I$5+'Cash Flows'!$BX$8+INDEX('Cash Flows'!$C$19:$BW$19,1,MATCH(EOMONTH(BC69,MOD(-MONTH(BC69),3)-3),'Cash Flows'!$C$4:$BW$4,0)))-SUM($AS$5,$AJ$5,$AA$5))/$E$15),MIN($E$26,(($I$5+'Cash Flows'!$BX$8+INDEX('Cash Flows'!$C$19:$BW$19,1,MATCH(EOMONTH(BC69,MOD(-MONTH(BC69),3)-3),'Cash Flows'!$C$4:$BW$4,0)))-SUM($AS$5,$AJ$5,$AA$5))/$E$15))),IF(BG69=0,"",BG69))</f>
        <v/>
      </c>
      <c r="BC69" s="112" t="str">
        <f t="shared" si="43"/>
        <v/>
      </c>
      <c r="BD69" s="139" t="str">
        <f>IFERROR(IF($Z69&gt;$E$12,"",IF($E$5="Uniform Inputs",INDEX($D$45:$E$53,MATCH($BB$3,$B$45:$B$53,0),MATCH(BD$4,$D$44:$E$44,0)),IF(BI69=0,"",BI69))),"")</f>
        <v/>
      </c>
      <c r="BE69" s="139" t="str">
        <f>IFERROR(IF($Z69&gt;$E$12,"",IF($E$5="Uniform Inputs",INDEX($D$45:$E$53,MATCH($BB$3,$B$45:$B$53,0),MATCH(BE$4,$D$44:$E$44,0)),IF(BJ69=0,"",BJ69))),"")</f>
        <v/>
      </c>
      <c r="BF69" s="10" t="str">
        <f t="shared" si="44"/>
        <v/>
      </c>
      <c r="BG69" s="11" t="s">
        <v>22</v>
      </c>
      <c r="BH69" s="168" t="s">
        <v>22</v>
      </c>
      <c r="BI69" s="11" t="s">
        <v>22</v>
      </c>
      <c r="BJ69" s="11" t="s">
        <v>22</v>
      </c>
      <c r="BK69" s="139" t="str">
        <f>IF($E$5="Uniform Inputs",IF($Z69&gt;$E$16,"",IF($E$23="Pro-Rata",MIN(BM69*BF69,(($I$5+'Cash Flows'!$BX$8+INDEX('Cash Flows'!$C$19:$BW$19,1,MATCH(EOMONTH(BL69,MOD(-MONTH(BL69),3)-3),'Cash Flows'!$C$4:$BW$4,0)))-SUM($BB$5,$AS$5,$AJ$5,$AA$5))/$E$16),MIN($E$27,(($I$5+'Cash Flows'!$BX$8+INDEX('Cash Flows'!$C$19:$BW$19,1,MATCH(EOMONTH(BL69,MOD(-MONTH(BL69),3)-3),'Cash Flows'!$C$4:$BW$4,0)))-SUM($BB$5,$AS$5,$AJ$5,$AA$5))/$E$16))),IF(BP69=0,"",BP69))</f>
        <v/>
      </c>
      <c r="BL69" s="112" t="str">
        <f t="shared" si="45"/>
        <v/>
      </c>
      <c r="BM69" s="139" t="str">
        <f>IFERROR(IF($Z69&gt;$E$12,"",IF($E$5="Uniform Inputs",INDEX($D$45:$E$53,MATCH($BK$3,$B$45:$B$53,0),MATCH(BM$4,$D$44:$E$44,0)),IF(BR69=0,"",BR69))),"")</f>
        <v/>
      </c>
      <c r="BN69" s="139" t="str">
        <f>IFERROR(IF($Z69&gt;$E$12,"",IF($E$5="Uniform Inputs",INDEX($D$45:$E$53,MATCH($BK$3,$B$45:$B$53,0),MATCH(BN$4,$D$44:$E$44,0)),IF(BS69=0,"",BS69))),"")</f>
        <v/>
      </c>
      <c r="BO69" s="10" t="str">
        <f t="shared" si="46"/>
        <v/>
      </c>
      <c r="BP69" s="11" t="s">
        <v>22</v>
      </c>
      <c r="BQ69" s="168" t="s">
        <v>22</v>
      </c>
      <c r="BR69" s="11" t="s">
        <v>22</v>
      </c>
      <c r="BS69" s="11" t="s">
        <v>22</v>
      </c>
      <c r="BT69" s="139" t="str">
        <f t="shared" si="30"/>
        <v/>
      </c>
      <c r="BU69" s="112" t="str">
        <f t="shared" si="47"/>
        <v/>
      </c>
      <c r="BV69" s="139" t="str">
        <f>IFERROR(IF($Z69&gt;$E$12,"",IF($E$5="Uniform Inputs",INDEX($D$45:$E$53,MATCH($BT$3,$B$45:$B$53,0),MATCH(BV$4,$D$44:$E$44,0)),IF(CA69=0,"",CA69))),"")</f>
        <v/>
      </c>
      <c r="BW69" s="139" t="str">
        <f>IFERROR(IF($Z69&gt;$E$12,"",IF($E$5="Uniform Inputs",INDEX($D$45:$E$53,MATCH($BT$3,$B$45:$B$53,0),MATCH(BW$4,$D$44:$E$44,0)),IF(CB69=0,"",CB69))),"")</f>
        <v/>
      </c>
      <c r="BX69" s="10" t="str">
        <f t="shared" si="48"/>
        <v/>
      </c>
      <c r="BY69" s="11" t="s">
        <v>22</v>
      </c>
      <c r="BZ69" s="168" t="s">
        <v>22</v>
      </c>
      <c r="CA69" s="11" t="s">
        <v>22</v>
      </c>
      <c r="CB69" s="11" t="s">
        <v>22</v>
      </c>
      <c r="CC69" s="139" t="str">
        <f t="shared" si="31"/>
        <v/>
      </c>
      <c r="CD69" s="112" t="str">
        <f t="shared" si="49"/>
        <v/>
      </c>
      <c r="CE69" s="139" t="str">
        <f>IFERROR(IF($Z69&gt;$E$12,"",IF($E$5="Uniform Inputs",INDEX($D$45:$E$53,MATCH($CC$3,$B$45:$B$53,0),MATCH(CE$4,$D$44:$E$44,0)),IF(CJ69=0,"",CJ69))),"")</f>
        <v/>
      </c>
      <c r="CF69" s="139" t="str">
        <f>IFERROR(IF($Z69&gt;$E$12,"",IF($E$5="Uniform Inputs",INDEX($D$45:$E$53,MATCH($CC$3,$B$45:$B$53,0),MATCH(CF$4,$D$44:$E$44,0)),IF(CK69=0,"",CK69))),"")</f>
        <v/>
      </c>
      <c r="CG69" s="10" t="str">
        <f t="shared" si="50"/>
        <v/>
      </c>
      <c r="CH69" s="11" t="s">
        <v>22</v>
      </c>
      <c r="CI69" s="168" t="s">
        <v>22</v>
      </c>
      <c r="CJ69" s="11" t="s">
        <v>22</v>
      </c>
      <c r="CK69" s="11" t="s">
        <v>22</v>
      </c>
      <c r="CL69" s="139" t="str">
        <f t="shared" si="32"/>
        <v/>
      </c>
      <c r="CM69" s="112" t="str">
        <f t="shared" si="51"/>
        <v/>
      </c>
      <c r="CN69" s="139" t="str">
        <f>IFERROR(IF($Z69&gt;$E$12,"",IF($E$5="Uniform Inputs",INDEX($D$45:$E$53,MATCH($CL$3,$B$45:$B$53,0),MATCH(CN$4,$D$44:$E$44,0)),IF(CS69=0,"",CS69))),"")</f>
        <v/>
      </c>
      <c r="CO69" s="139" t="str">
        <f>IFERROR(IF($Z69&gt;$E$12,"",IF($E$5="Uniform Inputs",INDEX($D$45:$E$53,MATCH($CL$3,$B$45:$B$53,0),MATCH(CO$4,$D$44:$E$44,0)),IF(CT69=0,"",CT69))),"")</f>
        <v/>
      </c>
      <c r="CP69" s="10" t="str">
        <f t="shared" si="52"/>
        <v/>
      </c>
      <c r="CQ69" s="11" t="s">
        <v>22</v>
      </c>
      <c r="CR69" s="168" t="s">
        <v>22</v>
      </c>
      <c r="CS69" s="11" t="s">
        <v>22</v>
      </c>
      <c r="CT69" s="11" t="s">
        <v>22</v>
      </c>
      <c r="CU69" s="139" t="str">
        <f t="shared" si="33"/>
        <v/>
      </c>
      <c r="CV69" s="112" t="str">
        <f t="shared" si="53"/>
        <v/>
      </c>
      <c r="CW69" s="139" t="str">
        <f>IFERROR(IF($Z69&gt;$E$12,"",IF($E$5="Uniform Inputs",INDEX($D$45:$E$53,MATCH($CU$3,$B$45:$B$53,0),MATCH(CW$4,$D$44:$E$44,0)),IF(DB69=0,"",DB69))),"")</f>
        <v/>
      </c>
      <c r="CX69" s="139" t="str">
        <f>IFERROR(IF($Z69&gt;$E$12,"",IF($E$5="Uniform Inputs",INDEX($D$45:$E$53,MATCH($CU$3,$B$45:$B$53,0),MATCH(CX$4,$D$44:$E$44,0)),IF(DC69=0,"",DC69))),"")</f>
        <v/>
      </c>
      <c r="CY69" s="10" t="str">
        <f t="shared" si="54"/>
        <v/>
      </c>
      <c r="CZ69" s="11" t="s">
        <v>22</v>
      </c>
      <c r="DA69" s="168" t="s">
        <v>22</v>
      </c>
      <c r="DB69" s="11" t="s">
        <v>22</v>
      </c>
      <c r="DC69" s="11" t="s">
        <v>22</v>
      </c>
    </row>
    <row r="70" spans="2:107" x14ac:dyDescent="0.25">
      <c r="B70" s="3" t="s">
        <v>22</v>
      </c>
      <c r="C70" s="3" t="s">
        <v>22</v>
      </c>
      <c r="D70" s="2" t="s">
        <v>22</v>
      </c>
      <c r="K70" s="6" t="str">
        <f t="shared" si="22"/>
        <v/>
      </c>
      <c r="O70" s="6" t="str">
        <f t="shared" si="23"/>
        <v/>
      </c>
      <c r="P70" s="35" t="str">
        <f t="shared" ref="P70:P105" si="56">IF(AA70="",IF(AJ70="",IF(AS70="",IF(BB70="",IF(BK70="","",$BK$3),$BB$3),$AS$3),$AJ$3),$AA$3)</f>
        <v/>
      </c>
      <c r="Q70" s="102" t="str">
        <f t="shared" ref="Q70:Q101" si="57">IF($E$5="Uniform Inputs",AE70,IF(P70=$AA$3,AE70,IF(P70=$AJ$3,AN70,IF(P70=$AS$3,AW70,IF(P70=$BB$3,BF70,IF(P70=$BK$3,BO70,""))))))</f>
        <v/>
      </c>
      <c r="R70" s="102" t="str">
        <f t="shared" ref="R70:R105" ca="1" si="58">IFERROR(OFFSET($Z$6,MATCH($K70,$Z$6:$Z$105,0)-1,MATCH($M70,$AA$3:$CY$3,0)+4),"")</f>
        <v/>
      </c>
      <c r="S70" s="112" t="str">
        <f t="shared" si="24"/>
        <v/>
      </c>
      <c r="T70" s="112" t="str">
        <f t="shared" ref="T70:T105" ca="1" si="59">IFERROR(IF($E$5="Uniform Inputs",OFFSET($Z$6,MATCH($K70,$Z$6:$Z$105,0)-1,MATCH($M70,$AA$3:$CY$3,0)+1)+(365*$E$28),OFFSET($Z$6,MATCH($K70,$Z$6:$Z$105,0)-1,MATCH($M70,$AA$3:$CY$3,0)+6)+(365*$E$28)),"")</f>
        <v/>
      </c>
      <c r="U70" s="1" t="str">
        <f t="shared" si="25"/>
        <v/>
      </c>
      <c r="V70" s="1" t="str">
        <f t="shared" ref="V70:V105" ca="1" si="60">IFERROR(R70*L70,"")</f>
        <v/>
      </c>
      <c r="W70" s="34" t="str">
        <f t="shared" ca="1" si="26"/>
        <v/>
      </c>
      <c r="Y70" s="2">
        <v>65</v>
      </c>
      <c r="Z70" s="6" t="str">
        <f t="shared" si="27"/>
        <v/>
      </c>
      <c r="AA70" s="139" t="str">
        <f>IF($E$5="Uniform Inputs",IF($Z70&gt;$E$12,"",MIN($E$21,($I$5+'Cash Flows'!$BX$8+INDEX('Cash Flows'!$C$19:$BW$19,1,MATCH(EOMONTH(AB70,MOD(-MONTH(AB70),3)-3),'Cash Flows'!$C$4:$BW$4,0)))/$E$12)),IF(AF70&gt;0,AF70,""))</f>
        <v/>
      </c>
      <c r="AB70" s="112" t="str">
        <f t="shared" si="55"/>
        <v/>
      </c>
      <c r="AC70" s="139" t="str">
        <f>IFERROR(IF($Z70&gt;$E$12,"",IF($E$5="Uniform Inputs",INDEX($D$45:$E$53,MATCH($AA$3,$B$45:$B$53,0),MATCH(AC$4,$D$44:$E$44,0)),IF(AH70=0,"",AH70))),"")</f>
        <v/>
      </c>
      <c r="AD70" s="139" t="str">
        <f>IFERROR(IF($Z70&gt;$E$12,"",IF($E$5="Uniform Inputs",INDEX($D$45:$E$53,MATCH($AA$3,$B$45:$B$53,0),MATCH(AD$4,$D$44:$E$44,0)),IF(AI70=0,"",AI70))),"")</f>
        <v/>
      </c>
      <c r="AE70" s="10" t="str">
        <f t="shared" si="29"/>
        <v/>
      </c>
      <c r="AF70" s="11" t="s">
        <v>22</v>
      </c>
      <c r="AG70" s="168" t="s">
        <v>22</v>
      </c>
      <c r="AH70" s="11" t="s">
        <v>22</v>
      </c>
      <c r="AI70" s="11" t="s">
        <v>22</v>
      </c>
      <c r="AJ70" s="139" t="str">
        <f>IF($E$5="Uniform Inputs",IF($Z70&gt;$E$13,"",IF($E$23="Pro-Rata",MIN(AL70*AE70,(($I$5+'Cash Flows'!$BX$8+INDEX('Cash Flows'!$C$19:$BW$19,1,MATCH(EOMONTH(AK70,MOD(-MONTH(AK70),3)-3),'Cash Flows'!$C$4:$BW$4,0)))-$AA$5)/$E$13),MIN($E$24,(($I$5+'Cash Flows'!$BX$8+INDEX('Cash Flows'!$C$19:$BW$19,1,MATCH(EOMONTH(AK70,MOD(-MONTH(AK70),3)-3),'Cash Flows'!$C$4:$BW$4,0)))-$AA$5)/$E$13))),IF(AO70=0,"",AO70))</f>
        <v/>
      </c>
      <c r="AK70" s="112" t="str">
        <f t="shared" ref="AK70:AK105" si="61">IF($E$5="Uniform Inputs",IF($Z70&gt;$E$12,"",AB70+(365*$E$28)),IF(AP70=0,"",AP70))</f>
        <v/>
      </c>
      <c r="AL70" s="139" t="str">
        <f>IFERROR(IF($Z70&gt;$E$12,"",IF($E$5="Uniform Inputs",INDEX($D$45:$E$53,MATCH($AJ$3,$B$45:$B$53,0),MATCH(AL$4,$D$44:$E$44,0)),IF(AQ70=0,"",AQ70))),"")</f>
        <v/>
      </c>
      <c r="AM70" s="139" t="str">
        <f>IFERROR(IF($Z70&gt;$E$12,"",IF($E$5="Uniform Inputs",INDEX($D$45:$E$53,MATCH($AJ$3,$B$45:$B$53,0),MATCH(AM$4,$D$44:$E$44,0)),IF(AR70=0,"",AR70))),"")</f>
        <v/>
      </c>
      <c r="AN70" s="10" t="str">
        <f t="shared" ref="AN70:AN101" si="62">IFERROR(IF($E$5="Uniform Inputs",(AE70*(AM70-AL70)+IF(AJ70="",0,AJ70))/AM70,IF(AE70="",AJ70/AM70,(AE70*(AM70-AL70)+IF(AJ70="",0,AJ70))/AM70)),"")</f>
        <v/>
      </c>
      <c r="AO70" s="11" t="s">
        <v>22</v>
      </c>
      <c r="AP70" s="168" t="s">
        <v>22</v>
      </c>
      <c r="AQ70" s="11" t="s">
        <v>22</v>
      </c>
      <c r="AR70" s="11" t="s">
        <v>22</v>
      </c>
      <c r="AS70" s="139" t="str">
        <f>IF($E$5="Uniform Inputs",IF($Z70&gt;$E$14,"",IF($E$23="Pro-Rata",MIN(AU70*AN70,(($I$5+'Cash Flows'!$BX$8+INDEX('Cash Flows'!$C$19:$BW$19,1,MATCH(EOMONTH(AT70,MOD(-MONTH(AT70),3)-3),'Cash Flows'!$C$4:$BW$4,0)))-SUM($AJ$5,$AA$5))/$E$14),MIN($E$25,(($I$5+'Cash Flows'!$BX$8+INDEX('Cash Flows'!$C$19:$BW$19,1,MATCH(EOMONTH(AT70,MOD(-MONTH(AT70),3)-3),'Cash Flows'!$C$4:$BW$4,0)))-SUM($AJ$5,$AA$5))/$E$14))),IF(AX70=0,"",AX70))</f>
        <v/>
      </c>
      <c r="AT70" s="112" t="str">
        <f t="shared" ref="AT70:AT105" si="63">IF($E$5="Uniform Inputs",IF($Z70&gt;$E$12,"",AK70+(365*$E$28)),IF(AY70=0,"",AY70))</f>
        <v/>
      </c>
      <c r="AU70" s="139" t="str">
        <f>IFERROR(IF($Z70&gt;$E$12,"",IF($E$5="Uniform Inputs",INDEX($D$45:$E$53,MATCH($AS$3,$B$45:$B$53,0),MATCH(AU$4,$D$44:$E$44,0)),IF(AZ70=0,"",AZ70))),"")</f>
        <v/>
      </c>
      <c r="AV70" s="139" t="str">
        <f>IFERROR(IF($Z70&gt;$E$12,"",IF($E$5="Uniform Inputs",INDEX($D$45:$E$53,MATCH($AS$3,$B$45:$B$53,0),MATCH(AV$4,$D$44:$E$44,0)),IF(BA70=0,"",BA70))),"")</f>
        <v/>
      </c>
      <c r="AW70" s="10" t="str">
        <f t="shared" ref="AW70:AW101" si="64">IFERROR(IF($E$5="Uniform Inputs",(AN70*(AV70-AU70)+IF(AS70="",0,AS70))/AV70,IF(AN70="",AS70/AV70,(AN70*(AV70-AU70)+IF(AS70="",0,AS70))/AV70)),"")</f>
        <v/>
      </c>
      <c r="AX70" s="11" t="s">
        <v>22</v>
      </c>
      <c r="AY70" s="168" t="s">
        <v>22</v>
      </c>
      <c r="AZ70" s="11" t="s">
        <v>22</v>
      </c>
      <c r="BA70" s="11" t="s">
        <v>22</v>
      </c>
      <c r="BB70" s="139" t="str">
        <f>IF($E$5="Uniform Inputs",IF($Z70&gt;$E$15,"",IF($E$23="Pro-Rata",MIN(BD70*AW70,(($I$5+'Cash Flows'!$BX$8+INDEX('Cash Flows'!$C$19:$BW$19,1,MATCH(EOMONTH(BC70,MOD(-MONTH(BC70),3)-3),'Cash Flows'!$C$4:$BW$4,0)))-SUM($AS$5,$AJ$5,$AA$5))/$E$15),MIN($E$26,(($I$5+'Cash Flows'!$BX$8+INDEX('Cash Flows'!$C$19:$BW$19,1,MATCH(EOMONTH(BC70,MOD(-MONTH(BC70),3)-3),'Cash Flows'!$C$4:$BW$4,0)))-SUM($AS$5,$AJ$5,$AA$5))/$E$15))),IF(BG70=0,"",BG70))</f>
        <v/>
      </c>
      <c r="BC70" s="112" t="str">
        <f t="shared" ref="BC70:BC105" si="65">IF($E$5="Uniform Inputs",IF($Z70&gt;$E$12,"",AT70+(365*$E$28)),IF(BH70=0,"",BH70))</f>
        <v/>
      </c>
      <c r="BD70" s="139" t="str">
        <f>IFERROR(IF($Z70&gt;$E$12,"",IF($E$5="Uniform Inputs",INDEX($D$45:$E$53,MATCH($BB$3,$B$45:$B$53,0),MATCH(BD$4,$D$44:$E$44,0)),IF(BI70=0,"",BI70))),"")</f>
        <v/>
      </c>
      <c r="BE70" s="139" t="str">
        <f>IFERROR(IF($Z70&gt;$E$12,"",IF($E$5="Uniform Inputs",INDEX($D$45:$E$53,MATCH($BB$3,$B$45:$B$53,0),MATCH(BE$4,$D$44:$E$44,0)),IF(BJ70=0,"",BJ70))),"")</f>
        <v/>
      </c>
      <c r="BF70" s="10" t="str">
        <f t="shared" ref="BF70:BF101" si="66">IFERROR(IF($E$5="Uniform Inputs",(AW70*(BE70-BD70)+IF(BB70="",0,BB70))/BE70,IF(AW70="",BB70/BE70,(AW70*(BE70-BD70)+IF(BB70="",0,BB70))/BE70)),"")</f>
        <v/>
      </c>
      <c r="BG70" s="11" t="s">
        <v>22</v>
      </c>
      <c r="BH70" s="168" t="s">
        <v>22</v>
      </c>
      <c r="BI70" s="11" t="s">
        <v>22</v>
      </c>
      <c r="BJ70" s="11" t="s">
        <v>22</v>
      </c>
      <c r="BK70" s="139" t="str">
        <f>IF($E$5="Uniform Inputs",IF($Z70&gt;$E$16,"",IF($E$23="Pro-Rata",MIN(BM70*BF70,(($I$5+'Cash Flows'!$BX$8+INDEX('Cash Flows'!$C$19:$BW$19,1,MATCH(EOMONTH(BL70,MOD(-MONTH(BL70),3)-3),'Cash Flows'!$C$4:$BW$4,0)))-SUM($BB$5,$AS$5,$AJ$5,$AA$5))/$E$16),MIN($E$27,(($I$5+'Cash Flows'!$BX$8+INDEX('Cash Flows'!$C$19:$BW$19,1,MATCH(EOMONTH(BL70,MOD(-MONTH(BL70),3)-3),'Cash Flows'!$C$4:$BW$4,0)))-SUM($BB$5,$AS$5,$AJ$5,$AA$5))/$E$16))),IF(BP70=0,"",BP70))</f>
        <v/>
      </c>
      <c r="BL70" s="112" t="str">
        <f t="shared" ref="BL70:BL105" si="67">IF($E$5="Uniform Inputs",IF($Z70&gt;$E$12,"",BC70+(365*$E$28)),IF(BQ70=0,"",BQ70))</f>
        <v/>
      </c>
      <c r="BM70" s="139" t="str">
        <f>IFERROR(IF($Z70&gt;$E$12,"",IF($E$5="Uniform Inputs",INDEX($D$45:$E$53,MATCH($BK$3,$B$45:$B$53,0),MATCH(BM$4,$D$44:$E$44,0)),IF(BR70=0,"",BR70))),"")</f>
        <v/>
      </c>
      <c r="BN70" s="139" t="str">
        <f>IFERROR(IF($Z70&gt;$E$12,"",IF($E$5="Uniform Inputs",INDEX($D$45:$E$53,MATCH($BK$3,$B$45:$B$53,0),MATCH(BN$4,$D$44:$E$44,0)),IF(BS70=0,"",BS70))),"")</f>
        <v/>
      </c>
      <c r="BO70" s="10" t="str">
        <f t="shared" ref="BO70:BO101" si="68">IFERROR(IF($E$5="Uniform Inputs",(BF70*(BN70-BM70)+IF(BK70="",0,BK70))/BN70,IF(BF70="",BK70/BN70,(BF70*(BN70-BM70)+IF(BK70="",0,BK70))/BN70)),"")</f>
        <v/>
      </c>
      <c r="BP70" s="11" t="s">
        <v>22</v>
      </c>
      <c r="BQ70" s="168" t="s">
        <v>22</v>
      </c>
      <c r="BR70" s="11" t="s">
        <v>22</v>
      </c>
      <c r="BS70" s="11" t="s">
        <v>22</v>
      </c>
      <c r="BT70" s="139" t="str">
        <f t="shared" si="30"/>
        <v/>
      </c>
      <c r="BU70" s="112" t="str">
        <f t="shared" ref="BU70:BU105" si="69">IF($E$5="Uniform Inputs",IF($Z70&gt;$E$12,"",BL70+(365*$E$28)),IF(BZ70=0,"",BZ70))</f>
        <v/>
      </c>
      <c r="BV70" s="139" t="str">
        <f>IFERROR(IF($Z70&gt;$E$12,"",IF($E$5="Uniform Inputs",INDEX($D$45:$E$53,MATCH($BT$3,$B$45:$B$53,0),MATCH(BV$4,$D$44:$E$44,0)),IF(CA70=0,"",CA70))),"")</f>
        <v/>
      </c>
      <c r="BW70" s="139" t="str">
        <f>IFERROR(IF($Z70&gt;$E$12,"",IF($E$5="Uniform Inputs",INDEX($D$45:$E$53,MATCH($BT$3,$B$45:$B$53,0),MATCH(BW$4,$D$44:$E$44,0)),IF(CB70=0,"",CB70))),"")</f>
        <v/>
      </c>
      <c r="BX70" s="10" t="str">
        <f t="shared" ref="BX70:BX101" si="70">IFERROR(IF($E$5="Uniform Inputs",(BO70*(BW70-BV70)+IF(BT70="",0,BT70))/BW70,IF(BO70="",BT70/BW70,(BO70*(BW70-BV70)+IF(BT70="",0,BT70))/BW70)),"")</f>
        <v/>
      </c>
      <c r="BY70" s="11" t="s">
        <v>22</v>
      </c>
      <c r="BZ70" s="168" t="s">
        <v>22</v>
      </c>
      <c r="CA70" s="11" t="s">
        <v>22</v>
      </c>
      <c r="CB70" s="11" t="s">
        <v>22</v>
      </c>
      <c r="CC70" s="139" t="str">
        <f t="shared" si="31"/>
        <v/>
      </c>
      <c r="CD70" s="112" t="str">
        <f t="shared" ref="CD70:CD105" si="71">IF($E$5="Uniform Inputs",IF($Z70&gt;$E$12,"",BU70+(365*$E$28)),IF(CI70=0,"",CI70))</f>
        <v/>
      </c>
      <c r="CE70" s="139" t="str">
        <f>IFERROR(IF($Z70&gt;$E$12,"",IF($E$5="Uniform Inputs",INDEX($D$45:$E$53,MATCH($CC$3,$B$45:$B$53,0),MATCH(CE$4,$D$44:$E$44,0)),IF(CJ70=0,"",CJ70))),"")</f>
        <v/>
      </c>
      <c r="CF70" s="139" t="str">
        <f>IFERROR(IF($Z70&gt;$E$12,"",IF($E$5="Uniform Inputs",INDEX($D$45:$E$53,MATCH($CC$3,$B$45:$B$53,0),MATCH(CF$4,$D$44:$E$44,0)),IF(CK70=0,"",CK70))),"")</f>
        <v/>
      </c>
      <c r="CG70" s="10" t="str">
        <f t="shared" ref="CG70:CG101" si="72">IFERROR(IF($E$5="Uniform Inputs",(BX70*(CF70-CE70)+IF(CC70="",0,CC70))/CF70,IF(BX70="",CC70/CF70,(BX70*(CF70-CE70)+IF(CC70="",0,CC70))/CF70)),"")</f>
        <v/>
      </c>
      <c r="CH70" s="11" t="s">
        <v>22</v>
      </c>
      <c r="CI70" s="168" t="s">
        <v>22</v>
      </c>
      <c r="CJ70" s="11" t="s">
        <v>22</v>
      </c>
      <c r="CK70" s="11" t="s">
        <v>22</v>
      </c>
      <c r="CL70" s="139" t="str">
        <f t="shared" si="32"/>
        <v/>
      </c>
      <c r="CM70" s="112" t="str">
        <f t="shared" ref="CM70:CM105" si="73">IF($E$5="Uniform Inputs",IF($Z70&gt;$E$12,"",CD70+(365*$E$28)),IF(CR70=0,"",CR70))</f>
        <v/>
      </c>
      <c r="CN70" s="139" t="str">
        <f>IFERROR(IF($Z70&gt;$E$12,"",IF($E$5="Uniform Inputs",INDEX($D$45:$E$53,MATCH($CL$3,$B$45:$B$53,0),MATCH(CN$4,$D$44:$E$44,0)),IF(CS70=0,"",CS70))),"")</f>
        <v/>
      </c>
      <c r="CO70" s="139" t="str">
        <f>IFERROR(IF($Z70&gt;$E$12,"",IF($E$5="Uniform Inputs",INDEX($D$45:$E$53,MATCH($CL$3,$B$45:$B$53,0),MATCH(CO$4,$D$44:$E$44,0)),IF(CT70=0,"",CT70))),"")</f>
        <v/>
      </c>
      <c r="CP70" s="10" t="str">
        <f t="shared" ref="CP70:CP101" si="74">IFERROR(IF($E$5="Uniform Inputs",(CG70*(CO70-CN70)+IF(CL70="",0,CL70))/CO70,IF(CG70="",CL70/CO70,(CG70*(CO70-CN70)+IF(CL70="",0,CL70))/CO70)),"")</f>
        <v/>
      </c>
      <c r="CQ70" s="11" t="s">
        <v>22</v>
      </c>
      <c r="CR70" s="168" t="s">
        <v>22</v>
      </c>
      <c r="CS70" s="11" t="s">
        <v>22</v>
      </c>
      <c r="CT70" s="11" t="s">
        <v>22</v>
      </c>
      <c r="CU70" s="139" t="str">
        <f t="shared" si="33"/>
        <v/>
      </c>
      <c r="CV70" s="112" t="str">
        <f t="shared" ref="CV70:CV105" si="75">IF($E$5="Uniform Inputs",IF($Z70&gt;$E$12,"",CM70+(365*$E$28)),IF(DA70=0,"",DA70))</f>
        <v/>
      </c>
      <c r="CW70" s="139" t="str">
        <f>IFERROR(IF($Z70&gt;$E$12,"",IF($E$5="Uniform Inputs",INDEX($D$45:$E$53,MATCH($CU$3,$B$45:$B$53,0),MATCH(CW$4,$D$44:$E$44,0)),IF(DB70=0,"",DB70))),"")</f>
        <v/>
      </c>
      <c r="CX70" s="139" t="str">
        <f>IFERROR(IF($Z70&gt;$E$12,"",IF($E$5="Uniform Inputs",INDEX($D$45:$E$53,MATCH($CU$3,$B$45:$B$53,0),MATCH(CX$4,$D$44:$E$44,0)),IF(DC70=0,"",DC70))),"")</f>
        <v/>
      </c>
      <c r="CY70" s="10" t="str">
        <f t="shared" ref="CY70:CY101" si="76">IFERROR(IF($E$5="Uniform Inputs",(CP70*(CX70-CW70)+IF(CU70="",0,CU70))/CX70,IF(CP70="",CU70/CX70,(CP70*(CX70-CW70)+IF(CU70="",0,CU70))/CX70)),"")</f>
        <v/>
      </c>
      <c r="CZ70" s="11" t="s">
        <v>22</v>
      </c>
      <c r="DA70" s="168" t="s">
        <v>22</v>
      </c>
      <c r="DB70" s="11" t="s">
        <v>22</v>
      </c>
      <c r="DC70" s="11" t="s">
        <v>22</v>
      </c>
    </row>
    <row r="71" spans="2:107" x14ac:dyDescent="0.25">
      <c r="B71" s="3" t="s">
        <v>22</v>
      </c>
      <c r="C71" s="3" t="s">
        <v>22</v>
      </c>
      <c r="D71" s="2" t="s">
        <v>22</v>
      </c>
      <c r="K71" s="6" t="str">
        <f t="shared" ref="K71:K105" si="77">Z71</f>
        <v/>
      </c>
      <c r="O71" s="6" t="str">
        <f t="shared" ref="O71:O105" si="78">Z71</f>
        <v/>
      </c>
      <c r="P71" s="35" t="str">
        <f t="shared" si="56"/>
        <v/>
      </c>
      <c r="Q71" s="102" t="str">
        <f t="shared" si="57"/>
        <v/>
      </c>
      <c r="R71" s="102" t="str">
        <f t="shared" ca="1" si="58"/>
        <v/>
      </c>
      <c r="S71" s="112" t="str">
        <f t="shared" ref="S71:S105" si="79">IF($E$5="Uniform Inputs",AB71,IF(P71=$AA$3,AB71,IF(P71=$AJ$3,AK71,IF(P71=$AS$3,AT71,IF(P71=$BB$3,BC71,IF(P71=$BK$3,BL71,""))))))</f>
        <v/>
      </c>
      <c r="T71" s="112" t="str">
        <f t="shared" ca="1" si="59"/>
        <v/>
      </c>
      <c r="U71" s="1" t="str">
        <f t="shared" ref="U71:U105" si="80">IF(SUM(AA71,AJ71,AS71,BB71,BK71,BT71,CC71,CL71)&gt;0,SUM(AA71,AJ71,AS71,BB71,BK71,BT71,CC71,CL71),"")</f>
        <v/>
      </c>
      <c r="V71" s="1" t="str">
        <f t="shared" ca="1" si="60"/>
        <v/>
      </c>
      <c r="W71" s="34" t="str">
        <f t="shared" ref="W71:W105" ca="1" si="81">IFERROR(V71/U71,"")</f>
        <v/>
      </c>
      <c r="Y71" s="2">
        <v>66</v>
      </c>
      <c r="Z71" s="6" t="str">
        <f t="shared" ref="Z71:Z105" si="82">IF(Y71&gt;$E$12,"",Y71)</f>
        <v/>
      </c>
      <c r="AA71" s="139" t="str">
        <f>IF($E$5="Uniform Inputs",IF($Z71&gt;$E$12,"",MIN($E$21,($I$5+'Cash Flows'!$BX$8+INDEX('Cash Flows'!$C$19:$BW$19,1,MATCH(EOMONTH(AB71,MOD(-MONTH(AB71),3)-3),'Cash Flows'!$C$4:$BW$4,0)))/$E$12)),IF(AF71&gt;0,AF71,""))</f>
        <v/>
      </c>
      <c r="AB71" s="112" t="str">
        <f t="shared" ref="AB71:AB105" si="83">IF($E$5="Uniform Inputs",IF($Z71&gt;$E$12,"",AB70+(30/$E$17)),IF(AG71="","",AG71))</f>
        <v/>
      </c>
      <c r="AC71" s="139" t="str">
        <f>IFERROR(IF($Z71&gt;$E$12,"",IF($E$5="Uniform Inputs",INDEX($D$45:$E$53,MATCH($AA$3,$B$45:$B$53,0),MATCH(AC$4,$D$44:$E$44,0)),IF(AH71=0,"",AH71))),"")</f>
        <v/>
      </c>
      <c r="AD71" s="139" t="str">
        <f>IFERROR(IF($Z71&gt;$E$12,"",IF($E$5="Uniform Inputs",INDEX($D$45:$E$53,MATCH($AA$3,$B$45:$B$53,0),MATCH(AD$4,$D$44:$E$44,0)),IF(AI71=0,"",AI71))),"")</f>
        <v/>
      </c>
      <c r="AE71" s="10" t="str">
        <f t="shared" ref="AE71:AE105" si="84">IFERROR(AA71/AD71,"")</f>
        <v/>
      </c>
      <c r="AF71" s="11" t="s">
        <v>22</v>
      </c>
      <c r="AG71" s="168" t="s">
        <v>22</v>
      </c>
      <c r="AH71" s="11" t="s">
        <v>22</v>
      </c>
      <c r="AI71" s="11" t="s">
        <v>22</v>
      </c>
      <c r="AJ71" s="139" t="str">
        <f>IF($E$5="Uniform Inputs",IF($Z71&gt;$E$13,"",IF($E$23="Pro-Rata",MIN(AL71*AE71,(($I$5+'Cash Flows'!$BX$8+INDEX('Cash Flows'!$C$19:$BW$19,1,MATCH(EOMONTH(AK71,MOD(-MONTH(AK71),3)-3),'Cash Flows'!$C$4:$BW$4,0)))-$AA$5)/$E$13),MIN($E$24,(($I$5+'Cash Flows'!$BX$8+INDEX('Cash Flows'!$C$19:$BW$19,1,MATCH(EOMONTH(AK71,MOD(-MONTH(AK71),3)-3),'Cash Flows'!$C$4:$BW$4,0)))-$AA$5)/$E$13))),IF(AO71=0,"",AO71))</f>
        <v/>
      </c>
      <c r="AK71" s="112" t="str">
        <f t="shared" si="61"/>
        <v/>
      </c>
      <c r="AL71" s="139" t="str">
        <f>IFERROR(IF($Z71&gt;$E$12,"",IF($E$5="Uniform Inputs",INDEX($D$45:$E$53,MATCH($AJ$3,$B$45:$B$53,0),MATCH(AL$4,$D$44:$E$44,0)),IF(AQ71=0,"",AQ71))),"")</f>
        <v/>
      </c>
      <c r="AM71" s="139" t="str">
        <f>IFERROR(IF($Z71&gt;$E$12,"",IF($E$5="Uniform Inputs",INDEX($D$45:$E$53,MATCH($AJ$3,$B$45:$B$53,0),MATCH(AM$4,$D$44:$E$44,0)),IF(AR71=0,"",AR71))),"")</f>
        <v/>
      </c>
      <c r="AN71" s="10" t="str">
        <f t="shared" si="62"/>
        <v/>
      </c>
      <c r="AO71" s="11" t="s">
        <v>22</v>
      </c>
      <c r="AP71" s="168" t="s">
        <v>22</v>
      </c>
      <c r="AQ71" s="11" t="s">
        <v>22</v>
      </c>
      <c r="AR71" s="11" t="s">
        <v>22</v>
      </c>
      <c r="AS71" s="139" t="str">
        <f>IF($E$5="Uniform Inputs",IF($Z71&gt;$E$14,"",IF($E$23="Pro-Rata",MIN(AU71*AN71,(($I$5+'Cash Flows'!$BX$8+INDEX('Cash Flows'!$C$19:$BW$19,1,MATCH(EOMONTH(AT71,MOD(-MONTH(AT71),3)-3),'Cash Flows'!$C$4:$BW$4,0)))-SUM($AJ$5,$AA$5))/$E$14),MIN($E$25,(($I$5+'Cash Flows'!$BX$8+INDEX('Cash Flows'!$C$19:$BW$19,1,MATCH(EOMONTH(AT71,MOD(-MONTH(AT71),3)-3),'Cash Flows'!$C$4:$BW$4,0)))-SUM($AJ$5,$AA$5))/$E$14))),IF(AX71=0,"",AX71))</f>
        <v/>
      </c>
      <c r="AT71" s="112" t="str">
        <f t="shared" si="63"/>
        <v/>
      </c>
      <c r="AU71" s="139" t="str">
        <f>IFERROR(IF($Z71&gt;$E$12,"",IF($E$5="Uniform Inputs",INDEX($D$45:$E$53,MATCH($AS$3,$B$45:$B$53,0),MATCH(AU$4,$D$44:$E$44,0)),IF(AZ71=0,"",AZ71))),"")</f>
        <v/>
      </c>
      <c r="AV71" s="139" t="str">
        <f>IFERROR(IF($Z71&gt;$E$12,"",IF($E$5="Uniform Inputs",INDEX($D$45:$E$53,MATCH($AS$3,$B$45:$B$53,0),MATCH(AV$4,$D$44:$E$44,0)),IF(BA71=0,"",BA71))),"")</f>
        <v/>
      </c>
      <c r="AW71" s="10" t="str">
        <f t="shared" si="64"/>
        <v/>
      </c>
      <c r="AX71" s="11" t="s">
        <v>22</v>
      </c>
      <c r="AY71" s="168" t="s">
        <v>22</v>
      </c>
      <c r="AZ71" s="11" t="s">
        <v>22</v>
      </c>
      <c r="BA71" s="11" t="s">
        <v>22</v>
      </c>
      <c r="BB71" s="139" t="str">
        <f>IF($E$5="Uniform Inputs",IF($Z71&gt;$E$15,"",IF($E$23="Pro-Rata",MIN(BD71*AW71,(($I$5+'Cash Flows'!$BX$8+INDEX('Cash Flows'!$C$19:$BW$19,1,MATCH(EOMONTH(BC71,MOD(-MONTH(BC71),3)-3),'Cash Flows'!$C$4:$BW$4,0)))-SUM($AS$5,$AJ$5,$AA$5))/$E$15),MIN($E$26,(($I$5+'Cash Flows'!$BX$8+INDEX('Cash Flows'!$C$19:$BW$19,1,MATCH(EOMONTH(BC71,MOD(-MONTH(BC71),3)-3),'Cash Flows'!$C$4:$BW$4,0)))-SUM($AS$5,$AJ$5,$AA$5))/$E$15))),IF(BG71=0,"",BG71))</f>
        <v/>
      </c>
      <c r="BC71" s="112" t="str">
        <f t="shared" si="65"/>
        <v/>
      </c>
      <c r="BD71" s="139" t="str">
        <f>IFERROR(IF($Z71&gt;$E$12,"",IF($E$5="Uniform Inputs",INDEX($D$45:$E$53,MATCH($BB$3,$B$45:$B$53,0),MATCH(BD$4,$D$44:$E$44,0)),IF(BI71=0,"",BI71))),"")</f>
        <v/>
      </c>
      <c r="BE71" s="139" t="str">
        <f>IFERROR(IF($Z71&gt;$E$12,"",IF($E$5="Uniform Inputs",INDEX($D$45:$E$53,MATCH($BB$3,$B$45:$B$53,0),MATCH(BE$4,$D$44:$E$44,0)),IF(BJ71=0,"",BJ71))),"")</f>
        <v/>
      </c>
      <c r="BF71" s="10" t="str">
        <f t="shared" si="66"/>
        <v/>
      </c>
      <c r="BG71" s="11" t="s">
        <v>22</v>
      </c>
      <c r="BH71" s="168" t="s">
        <v>22</v>
      </c>
      <c r="BI71" s="11" t="s">
        <v>22</v>
      </c>
      <c r="BJ71" s="11" t="s">
        <v>22</v>
      </c>
      <c r="BK71" s="139" t="str">
        <f>IF($E$5="Uniform Inputs",IF($Z71&gt;$E$16,"",IF($E$23="Pro-Rata",MIN(BM71*BF71,(($I$5+'Cash Flows'!$BX$8+INDEX('Cash Flows'!$C$19:$BW$19,1,MATCH(EOMONTH(BL71,MOD(-MONTH(BL71),3)-3),'Cash Flows'!$C$4:$BW$4,0)))-SUM($BB$5,$AS$5,$AJ$5,$AA$5))/$E$16),MIN($E$27,(($I$5+'Cash Flows'!$BX$8+INDEX('Cash Flows'!$C$19:$BW$19,1,MATCH(EOMONTH(BL71,MOD(-MONTH(BL71),3)-3),'Cash Flows'!$C$4:$BW$4,0)))-SUM($BB$5,$AS$5,$AJ$5,$AA$5))/$E$16))),IF(BP71=0,"",BP71))</f>
        <v/>
      </c>
      <c r="BL71" s="112" t="str">
        <f t="shared" si="67"/>
        <v/>
      </c>
      <c r="BM71" s="139" t="str">
        <f>IFERROR(IF($Z71&gt;$E$12,"",IF($E$5="Uniform Inputs",INDEX($D$45:$E$53,MATCH($BK$3,$B$45:$B$53,0),MATCH(BM$4,$D$44:$E$44,0)),IF(BR71=0,"",BR71))),"")</f>
        <v/>
      </c>
      <c r="BN71" s="139" t="str">
        <f>IFERROR(IF($Z71&gt;$E$12,"",IF($E$5="Uniform Inputs",INDEX($D$45:$E$53,MATCH($BK$3,$B$45:$B$53,0),MATCH(BN$4,$D$44:$E$44,0)),IF(BS71=0,"",BS71))),"")</f>
        <v/>
      </c>
      <c r="BO71" s="10" t="str">
        <f t="shared" si="68"/>
        <v/>
      </c>
      <c r="BP71" s="11" t="s">
        <v>22</v>
      </c>
      <c r="BQ71" s="168" t="s">
        <v>22</v>
      </c>
      <c r="BR71" s="11" t="s">
        <v>22</v>
      </c>
      <c r="BS71" s="11" t="s">
        <v>22</v>
      </c>
      <c r="BT71" s="139" t="str">
        <f t="shared" ref="BT71:BT105" si="85">IF($E$5="Uniform Inputs","",IF(BY71&gt;0,IF(BY71=0,"",BY71),""))</f>
        <v/>
      </c>
      <c r="BU71" s="112" t="str">
        <f t="shared" si="69"/>
        <v/>
      </c>
      <c r="BV71" s="139" t="str">
        <f>IFERROR(IF($Z71&gt;$E$12,"",IF($E$5="Uniform Inputs",INDEX($D$45:$E$53,MATCH($BT$3,$B$45:$B$53,0),MATCH(BV$4,$D$44:$E$44,0)),IF(CA71=0,"",CA71))),"")</f>
        <v/>
      </c>
      <c r="BW71" s="139" t="str">
        <f>IFERROR(IF($Z71&gt;$E$12,"",IF($E$5="Uniform Inputs",INDEX($D$45:$E$53,MATCH($BT$3,$B$45:$B$53,0),MATCH(BW$4,$D$44:$E$44,0)),IF(CB71=0,"",CB71))),"")</f>
        <v/>
      </c>
      <c r="BX71" s="10" t="str">
        <f t="shared" si="70"/>
        <v/>
      </c>
      <c r="BY71" s="11" t="s">
        <v>22</v>
      </c>
      <c r="BZ71" s="168" t="s">
        <v>22</v>
      </c>
      <c r="CA71" s="11" t="s">
        <v>22</v>
      </c>
      <c r="CB71" s="11" t="s">
        <v>22</v>
      </c>
      <c r="CC71" s="139" t="str">
        <f t="shared" ref="CC71:CC105" si="86">IF($E$5="Uniform Inputs","",IF(CH71&gt;0,IF(CH71=0,"",CH71),""))</f>
        <v/>
      </c>
      <c r="CD71" s="112" t="str">
        <f t="shared" si="71"/>
        <v/>
      </c>
      <c r="CE71" s="139" t="str">
        <f>IFERROR(IF($Z71&gt;$E$12,"",IF($E$5="Uniform Inputs",INDEX($D$45:$E$53,MATCH($CC$3,$B$45:$B$53,0),MATCH(CE$4,$D$44:$E$44,0)),IF(CJ71=0,"",CJ71))),"")</f>
        <v/>
      </c>
      <c r="CF71" s="139" t="str">
        <f>IFERROR(IF($Z71&gt;$E$12,"",IF($E$5="Uniform Inputs",INDEX($D$45:$E$53,MATCH($CC$3,$B$45:$B$53,0),MATCH(CF$4,$D$44:$E$44,0)),IF(CK71=0,"",CK71))),"")</f>
        <v/>
      </c>
      <c r="CG71" s="10" t="str">
        <f t="shared" si="72"/>
        <v/>
      </c>
      <c r="CH71" s="11" t="s">
        <v>22</v>
      </c>
      <c r="CI71" s="168" t="s">
        <v>22</v>
      </c>
      <c r="CJ71" s="11" t="s">
        <v>22</v>
      </c>
      <c r="CK71" s="11" t="s">
        <v>22</v>
      </c>
      <c r="CL71" s="139" t="str">
        <f t="shared" ref="CL71:CL105" si="87">IF($E$5="Uniform Inputs","",IF(CQ71&gt;0,IF(CQ71=0,"",CQ71),""))</f>
        <v/>
      </c>
      <c r="CM71" s="112" t="str">
        <f t="shared" si="73"/>
        <v/>
      </c>
      <c r="CN71" s="139" t="str">
        <f>IFERROR(IF($Z71&gt;$E$12,"",IF($E$5="Uniform Inputs",INDEX($D$45:$E$53,MATCH($CL$3,$B$45:$B$53,0),MATCH(CN$4,$D$44:$E$44,0)),IF(CS71=0,"",CS71))),"")</f>
        <v/>
      </c>
      <c r="CO71" s="139" t="str">
        <f>IFERROR(IF($Z71&gt;$E$12,"",IF($E$5="Uniform Inputs",INDEX($D$45:$E$53,MATCH($CL$3,$B$45:$B$53,0),MATCH(CO$4,$D$44:$E$44,0)),IF(CT71=0,"",CT71))),"")</f>
        <v/>
      </c>
      <c r="CP71" s="10" t="str">
        <f t="shared" si="74"/>
        <v/>
      </c>
      <c r="CQ71" s="11" t="s">
        <v>22</v>
      </c>
      <c r="CR71" s="168" t="s">
        <v>22</v>
      </c>
      <c r="CS71" s="11" t="s">
        <v>22</v>
      </c>
      <c r="CT71" s="11" t="s">
        <v>22</v>
      </c>
      <c r="CU71" s="139" t="str">
        <f t="shared" ref="CU71:CU105" si="88">IF($E$5="Uniform Inputs","",IF(CZ71&gt;0,IF(CZ71=0,"",CZ71),""))</f>
        <v/>
      </c>
      <c r="CV71" s="112" t="str">
        <f t="shared" si="75"/>
        <v/>
      </c>
      <c r="CW71" s="139" t="str">
        <f>IFERROR(IF($Z71&gt;$E$12,"",IF($E$5="Uniform Inputs",INDEX($D$45:$E$53,MATCH($CU$3,$B$45:$B$53,0),MATCH(CW$4,$D$44:$E$44,0)),IF(DB71=0,"",DB71))),"")</f>
        <v/>
      </c>
      <c r="CX71" s="139" t="str">
        <f>IFERROR(IF($Z71&gt;$E$12,"",IF($E$5="Uniform Inputs",INDEX($D$45:$E$53,MATCH($CU$3,$B$45:$B$53,0),MATCH(CX$4,$D$44:$E$44,0)),IF(DC71=0,"",DC71))),"")</f>
        <v/>
      </c>
      <c r="CY71" s="10" t="str">
        <f t="shared" si="76"/>
        <v/>
      </c>
      <c r="CZ71" s="11" t="s">
        <v>22</v>
      </c>
      <c r="DA71" s="168" t="s">
        <v>22</v>
      </c>
      <c r="DB71" s="11" t="s">
        <v>22</v>
      </c>
      <c r="DC71" s="11" t="s">
        <v>22</v>
      </c>
    </row>
    <row r="72" spans="2:107" x14ac:dyDescent="0.25">
      <c r="B72" s="3" t="s">
        <v>22</v>
      </c>
      <c r="C72" s="3" t="s">
        <v>22</v>
      </c>
      <c r="D72" s="2" t="s">
        <v>22</v>
      </c>
      <c r="K72" s="6" t="str">
        <f t="shared" si="77"/>
        <v/>
      </c>
      <c r="O72" s="6" t="str">
        <f t="shared" si="78"/>
        <v/>
      </c>
      <c r="P72" s="35" t="str">
        <f t="shared" si="56"/>
        <v/>
      </c>
      <c r="Q72" s="102" t="str">
        <f t="shared" si="57"/>
        <v/>
      </c>
      <c r="R72" s="102" t="str">
        <f t="shared" ca="1" si="58"/>
        <v/>
      </c>
      <c r="S72" s="112" t="str">
        <f t="shared" si="79"/>
        <v/>
      </c>
      <c r="T72" s="112" t="str">
        <f t="shared" ca="1" si="59"/>
        <v/>
      </c>
      <c r="U72" s="1" t="str">
        <f t="shared" si="80"/>
        <v/>
      </c>
      <c r="V72" s="1" t="str">
        <f t="shared" ca="1" si="60"/>
        <v/>
      </c>
      <c r="W72" s="34" t="str">
        <f t="shared" ca="1" si="81"/>
        <v/>
      </c>
      <c r="Y72" s="2">
        <v>67</v>
      </c>
      <c r="Z72" s="6" t="str">
        <f t="shared" si="82"/>
        <v/>
      </c>
      <c r="AA72" s="139" t="str">
        <f>IF($E$5="Uniform Inputs",IF($Z72&gt;$E$12,"",MIN($E$21,($I$5+'Cash Flows'!$BX$8+INDEX('Cash Flows'!$C$19:$BW$19,1,MATCH(EOMONTH(AB72,MOD(-MONTH(AB72),3)-3),'Cash Flows'!$C$4:$BW$4,0)))/$E$12)),IF(AF72&gt;0,AF72,""))</f>
        <v/>
      </c>
      <c r="AB72" s="112" t="str">
        <f t="shared" si="83"/>
        <v/>
      </c>
      <c r="AC72" s="139" t="str">
        <f>IFERROR(IF($Z72&gt;$E$12,"",IF($E$5="Uniform Inputs",INDEX($D$45:$E$53,MATCH($AA$3,$B$45:$B$53,0),MATCH(AC$4,$D$44:$E$44,0)),IF(AH72=0,"",AH72))),"")</f>
        <v/>
      </c>
      <c r="AD72" s="139" t="str">
        <f>IFERROR(IF($Z72&gt;$E$12,"",IF($E$5="Uniform Inputs",INDEX($D$45:$E$53,MATCH($AA$3,$B$45:$B$53,0),MATCH(AD$4,$D$44:$E$44,0)),IF(AI72=0,"",AI72))),"")</f>
        <v/>
      </c>
      <c r="AE72" s="10" t="str">
        <f t="shared" si="84"/>
        <v/>
      </c>
      <c r="AF72" s="11" t="s">
        <v>22</v>
      </c>
      <c r="AG72" s="168" t="s">
        <v>22</v>
      </c>
      <c r="AH72" s="11" t="s">
        <v>22</v>
      </c>
      <c r="AI72" s="11" t="s">
        <v>22</v>
      </c>
      <c r="AJ72" s="139" t="str">
        <f>IF($E$5="Uniform Inputs",IF($Z72&gt;$E$13,"",IF($E$23="Pro-Rata",MIN(AL72*AE72,(($I$5+'Cash Flows'!$BX$8+INDEX('Cash Flows'!$C$19:$BW$19,1,MATCH(EOMONTH(AK72,MOD(-MONTH(AK72),3)-3),'Cash Flows'!$C$4:$BW$4,0)))-$AA$5)/$E$13),MIN($E$24,(($I$5+'Cash Flows'!$BX$8+INDEX('Cash Flows'!$C$19:$BW$19,1,MATCH(EOMONTH(AK72,MOD(-MONTH(AK72),3)-3),'Cash Flows'!$C$4:$BW$4,0)))-$AA$5)/$E$13))),IF(AO72=0,"",AO72))</f>
        <v/>
      </c>
      <c r="AK72" s="112" t="str">
        <f t="shared" si="61"/>
        <v/>
      </c>
      <c r="AL72" s="139" t="str">
        <f>IFERROR(IF($Z72&gt;$E$12,"",IF($E$5="Uniform Inputs",INDEX($D$45:$E$53,MATCH($AJ$3,$B$45:$B$53,0),MATCH(AL$4,$D$44:$E$44,0)),IF(AQ72=0,"",AQ72))),"")</f>
        <v/>
      </c>
      <c r="AM72" s="139" t="str">
        <f>IFERROR(IF($Z72&gt;$E$12,"",IF($E$5="Uniform Inputs",INDEX($D$45:$E$53,MATCH($AJ$3,$B$45:$B$53,0),MATCH(AM$4,$D$44:$E$44,0)),IF(AR72=0,"",AR72))),"")</f>
        <v/>
      </c>
      <c r="AN72" s="10" t="str">
        <f t="shared" si="62"/>
        <v/>
      </c>
      <c r="AO72" s="11" t="s">
        <v>22</v>
      </c>
      <c r="AP72" s="168" t="s">
        <v>22</v>
      </c>
      <c r="AQ72" s="11" t="s">
        <v>22</v>
      </c>
      <c r="AR72" s="11" t="s">
        <v>22</v>
      </c>
      <c r="AS72" s="139" t="str">
        <f>IF($E$5="Uniform Inputs",IF($Z72&gt;$E$14,"",IF($E$23="Pro-Rata",MIN(AU72*AN72,(($I$5+'Cash Flows'!$BX$8+INDEX('Cash Flows'!$C$19:$BW$19,1,MATCH(EOMONTH(AT72,MOD(-MONTH(AT72),3)-3),'Cash Flows'!$C$4:$BW$4,0)))-SUM($AJ$5,$AA$5))/$E$14),MIN($E$25,(($I$5+'Cash Flows'!$BX$8+INDEX('Cash Flows'!$C$19:$BW$19,1,MATCH(EOMONTH(AT72,MOD(-MONTH(AT72),3)-3),'Cash Flows'!$C$4:$BW$4,0)))-SUM($AJ$5,$AA$5))/$E$14))),IF(AX72=0,"",AX72))</f>
        <v/>
      </c>
      <c r="AT72" s="112" t="str">
        <f t="shared" si="63"/>
        <v/>
      </c>
      <c r="AU72" s="139" t="str">
        <f>IFERROR(IF($Z72&gt;$E$12,"",IF($E$5="Uniform Inputs",INDEX($D$45:$E$53,MATCH($AS$3,$B$45:$B$53,0),MATCH(AU$4,$D$44:$E$44,0)),IF(AZ72=0,"",AZ72))),"")</f>
        <v/>
      </c>
      <c r="AV72" s="139" t="str">
        <f>IFERROR(IF($Z72&gt;$E$12,"",IF($E$5="Uniform Inputs",INDEX($D$45:$E$53,MATCH($AS$3,$B$45:$B$53,0),MATCH(AV$4,$D$44:$E$44,0)),IF(BA72=0,"",BA72))),"")</f>
        <v/>
      </c>
      <c r="AW72" s="10" t="str">
        <f t="shared" si="64"/>
        <v/>
      </c>
      <c r="AX72" s="11" t="s">
        <v>22</v>
      </c>
      <c r="AY72" s="168" t="s">
        <v>22</v>
      </c>
      <c r="AZ72" s="11" t="s">
        <v>22</v>
      </c>
      <c r="BA72" s="11" t="s">
        <v>22</v>
      </c>
      <c r="BB72" s="139" t="str">
        <f>IF($E$5="Uniform Inputs",IF($Z72&gt;$E$15,"",IF($E$23="Pro-Rata",MIN(BD72*AW72,(($I$5+'Cash Flows'!$BX$8+INDEX('Cash Flows'!$C$19:$BW$19,1,MATCH(EOMONTH(BC72,MOD(-MONTH(BC72),3)-3),'Cash Flows'!$C$4:$BW$4,0)))-SUM($AS$5,$AJ$5,$AA$5))/$E$15),MIN($E$26,(($I$5+'Cash Flows'!$BX$8+INDEX('Cash Flows'!$C$19:$BW$19,1,MATCH(EOMONTH(BC72,MOD(-MONTH(BC72),3)-3),'Cash Flows'!$C$4:$BW$4,0)))-SUM($AS$5,$AJ$5,$AA$5))/$E$15))),IF(BG72=0,"",BG72))</f>
        <v/>
      </c>
      <c r="BC72" s="112" t="str">
        <f t="shared" si="65"/>
        <v/>
      </c>
      <c r="BD72" s="139" t="str">
        <f>IFERROR(IF($Z72&gt;$E$12,"",IF($E$5="Uniform Inputs",INDEX($D$45:$E$53,MATCH($BB$3,$B$45:$B$53,0),MATCH(BD$4,$D$44:$E$44,0)),IF(BI72=0,"",BI72))),"")</f>
        <v/>
      </c>
      <c r="BE72" s="139" t="str">
        <f>IFERROR(IF($Z72&gt;$E$12,"",IF($E$5="Uniform Inputs",INDEX($D$45:$E$53,MATCH($BB$3,$B$45:$B$53,0),MATCH(BE$4,$D$44:$E$44,0)),IF(BJ72=0,"",BJ72))),"")</f>
        <v/>
      </c>
      <c r="BF72" s="10" t="str">
        <f t="shared" si="66"/>
        <v/>
      </c>
      <c r="BG72" s="11" t="s">
        <v>22</v>
      </c>
      <c r="BH72" s="168" t="s">
        <v>22</v>
      </c>
      <c r="BI72" s="11" t="s">
        <v>22</v>
      </c>
      <c r="BJ72" s="11" t="s">
        <v>22</v>
      </c>
      <c r="BK72" s="139" t="str">
        <f>IF($E$5="Uniform Inputs",IF($Z72&gt;$E$16,"",IF($E$23="Pro-Rata",MIN(BM72*BF72,(($I$5+'Cash Flows'!$BX$8+INDEX('Cash Flows'!$C$19:$BW$19,1,MATCH(EOMONTH(BL72,MOD(-MONTH(BL72),3)-3),'Cash Flows'!$C$4:$BW$4,0)))-SUM($BB$5,$AS$5,$AJ$5,$AA$5))/$E$16),MIN($E$27,(($I$5+'Cash Flows'!$BX$8+INDEX('Cash Flows'!$C$19:$BW$19,1,MATCH(EOMONTH(BL72,MOD(-MONTH(BL72),3)-3),'Cash Flows'!$C$4:$BW$4,0)))-SUM($BB$5,$AS$5,$AJ$5,$AA$5))/$E$16))),IF(BP72=0,"",BP72))</f>
        <v/>
      </c>
      <c r="BL72" s="112" t="str">
        <f t="shared" si="67"/>
        <v/>
      </c>
      <c r="BM72" s="139" t="str">
        <f>IFERROR(IF($Z72&gt;$E$12,"",IF($E$5="Uniform Inputs",INDEX($D$45:$E$53,MATCH($BK$3,$B$45:$B$53,0),MATCH(BM$4,$D$44:$E$44,0)),IF(BR72=0,"",BR72))),"")</f>
        <v/>
      </c>
      <c r="BN72" s="139" t="str">
        <f>IFERROR(IF($Z72&gt;$E$12,"",IF($E$5="Uniform Inputs",INDEX($D$45:$E$53,MATCH($BK$3,$B$45:$B$53,0),MATCH(BN$4,$D$44:$E$44,0)),IF(BS72=0,"",BS72))),"")</f>
        <v/>
      </c>
      <c r="BO72" s="10" t="str">
        <f t="shared" si="68"/>
        <v/>
      </c>
      <c r="BP72" s="11" t="s">
        <v>22</v>
      </c>
      <c r="BQ72" s="168" t="s">
        <v>22</v>
      </c>
      <c r="BR72" s="11" t="s">
        <v>22</v>
      </c>
      <c r="BS72" s="11" t="s">
        <v>22</v>
      </c>
      <c r="BT72" s="139" t="str">
        <f t="shared" si="85"/>
        <v/>
      </c>
      <c r="BU72" s="112" t="str">
        <f t="shared" si="69"/>
        <v/>
      </c>
      <c r="BV72" s="139" t="str">
        <f>IFERROR(IF($Z72&gt;$E$12,"",IF($E$5="Uniform Inputs",INDEX($D$45:$E$53,MATCH($BT$3,$B$45:$B$53,0),MATCH(BV$4,$D$44:$E$44,0)),IF(CA72=0,"",CA72))),"")</f>
        <v/>
      </c>
      <c r="BW72" s="139" t="str">
        <f>IFERROR(IF($Z72&gt;$E$12,"",IF($E$5="Uniform Inputs",INDEX($D$45:$E$53,MATCH($BT$3,$B$45:$B$53,0),MATCH(BW$4,$D$44:$E$44,0)),IF(CB72=0,"",CB72))),"")</f>
        <v/>
      </c>
      <c r="BX72" s="10" t="str">
        <f t="shared" si="70"/>
        <v/>
      </c>
      <c r="BY72" s="11" t="s">
        <v>22</v>
      </c>
      <c r="BZ72" s="168" t="s">
        <v>22</v>
      </c>
      <c r="CA72" s="11" t="s">
        <v>22</v>
      </c>
      <c r="CB72" s="11" t="s">
        <v>22</v>
      </c>
      <c r="CC72" s="139" t="str">
        <f t="shared" si="86"/>
        <v/>
      </c>
      <c r="CD72" s="112" t="str">
        <f t="shared" si="71"/>
        <v/>
      </c>
      <c r="CE72" s="139" t="str">
        <f>IFERROR(IF($Z72&gt;$E$12,"",IF($E$5="Uniform Inputs",INDEX($D$45:$E$53,MATCH($CC$3,$B$45:$B$53,0),MATCH(CE$4,$D$44:$E$44,0)),IF(CJ72=0,"",CJ72))),"")</f>
        <v/>
      </c>
      <c r="CF72" s="139" t="str">
        <f>IFERROR(IF($Z72&gt;$E$12,"",IF($E$5="Uniform Inputs",INDEX($D$45:$E$53,MATCH($CC$3,$B$45:$B$53,0),MATCH(CF$4,$D$44:$E$44,0)),IF(CK72=0,"",CK72))),"")</f>
        <v/>
      </c>
      <c r="CG72" s="10" t="str">
        <f t="shared" si="72"/>
        <v/>
      </c>
      <c r="CH72" s="11" t="s">
        <v>22</v>
      </c>
      <c r="CI72" s="168" t="s">
        <v>22</v>
      </c>
      <c r="CJ72" s="11" t="s">
        <v>22</v>
      </c>
      <c r="CK72" s="11" t="s">
        <v>22</v>
      </c>
      <c r="CL72" s="139" t="str">
        <f t="shared" si="87"/>
        <v/>
      </c>
      <c r="CM72" s="112" t="str">
        <f t="shared" si="73"/>
        <v/>
      </c>
      <c r="CN72" s="139" t="str">
        <f>IFERROR(IF($Z72&gt;$E$12,"",IF($E$5="Uniform Inputs",INDEX($D$45:$E$53,MATCH($CL$3,$B$45:$B$53,0),MATCH(CN$4,$D$44:$E$44,0)),IF(CS72=0,"",CS72))),"")</f>
        <v/>
      </c>
      <c r="CO72" s="139" t="str">
        <f>IFERROR(IF($Z72&gt;$E$12,"",IF($E$5="Uniform Inputs",INDEX($D$45:$E$53,MATCH($CL$3,$B$45:$B$53,0),MATCH(CO$4,$D$44:$E$44,0)),IF(CT72=0,"",CT72))),"")</f>
        <v/>
      </c>
      <c r="CP72" s="10" t="str">
        <f t="shared" si="74"/>
        <v/>
      </c>
      <c r="CQ72" s="11" t="s">
        <v>22</v>
      </c>
      <c r="CR72" s="168" t="s">
        <v>22</v>
      </c>
      <c r="CS72" s="11" t="s">
        <v>22</v>
      </c>
      <c r="CT72" s="11" t="s">
        <v>22</v>
      </c>
      <c r="CU72" s="139" t="str">
        <f t="shared" si="88"/>
        <v/>
      </c>
      <c r="CV72" s="112" t="str">
        <f t="shared" si="75"/>
        <v/>
      </c>
      <c r="CW72" s="139" t="str">
        <f>IFERROR(IF($Z72&gt;$E$12,"",IF($E$5="Uniform Inputs",INDEX($D$45:$E$53,MATCH($CU$3,$B$45:$B$53,0),MATCH(CW$4,$D$44:$E$44,0)),IF(DB72=0,"",DB72))),"")</f>
        <v/>
      </c>
      <c r="CX72" s="139" t="str">
        <f>IFERROR(IF($Z72&gt;$E$12,"",IF($E$5="Uniform Inputs",INDEX($D$45:$E$53,MATCH($CU$3,$B$45:$B$53,0),MATCH(CX$4,$D$44:$E$44,0)),IF(DC72=0,"",DC72))),"")</f>
        <v/>
      </c>
      <c r="CY72" s="10" t="str">
        <f t="shared" si="76"/>
        <v/>
      </c>
      <c r="CZ72" s="11" t="s">
        <v>22</v>
      </c>
      <c r="DA72" s="168" t="s">
        <v>22</v>
      </c>
      <c r="DB72" s="11" t="s">
        <v>22</v>
      </c>
      <c r="DC72" s="11" t="s">
        <v>22</v>
      </c>
    </row>
    <row r="73" spans="2:107" x14ac:dyDescent="0.25">
      <c r="B73" s="3" t="s">
        <v>22</v>
      </c>
      <c r="C73" s="3" t="s">
        <v>22</v>
      </c>
      <c r="D73" s="2" t="s">
        <v>22</v>
      </c>
      <c r="K73" s="6" t="str">
        <f t="shared" si="77"/>
        <v/>
      </c>
      <c r="O73" s="6" t="str">
        <f t="shared" si="78"/>
        <v/>
      </c>
      <c r="P73" s="35" t="str">
        <f t="shared" si="56"/>
        <v/>
      </c>
      <c r="Q73" s="102" t="str">
        <f t="shared" si="57"/>
        <v/>
      </c>
      <c r="R73" s="102" t="str">
        <f t="shared" ca="1" si="58"/>
        <v/>
      </c>
      <c r="S73" s="112" t="str">
        <f t="shared" si="79"/>
        <v/>
      </c>
      <c r="T73" s="112" t="str">
        <f t="shared" ca="1" si="59"/>
        <v/>
      </c>
      <c r="U73" s="1" t="str">
        <f t="shared" si="80"/>
        <v/>
      </c>
      <c r="V73" s="1" t="str">
        <f t="shared" ca="1" si="60"/>
        <v/>
      </c>
      <c r="W73" s="34" t="str">
        <f t="shared" ca="1" si="81"/>
        <v/>
      </c>
      <c r="Y73" s="2">
        <v>68</v>
      </c>
      <c r="Z73" s="6" t="str">
        <f t="shared" si="82"/>
        <v/>
      </c>
      <c r="AA73" s="139" t="str">
        <f>IF($E$5="Uniform Inputs",IF($Z73&gt;$E$12,"",MIN($E$21,($I$5+'Cash Flows'!$BX$8+INDEX('Cash Flows'!$C$19:$BW$19,1,MATCH(EOMONTH(AB73,MOD(-MONTH(AB73),3)-3),'Cash Flows'!$C$4:$BW$4,0)))/$E$12)),IF(AF73&gt;0,AF73,""))</f>
        <v/>
      </c>
      <c r="AB73" s="112" t="str">
        <f t="shared" si="83"/>
        <v/>
      </c>
      <c r="AC73" s="139" t="str">
        <f>IFERROR(IF($Z73&gt;$E$12,"",IF($E$5="Uniform Inputs",INDEX($D$45:$E$53,MATCH($AA$3,$B$45:$B$53,0),MATCH(AC$4,$D$44:$E$44,0)),IF(AH73=0,"",AH73))),"")</f>
        <v/>
      </c>
      <c r="AD73" s="139" t="str">
        <f>IFERROR(IF($Z73&gt;$E$12,"",IF($E$5="Uniform Inputs",INDEX($D$45:$E$53,MATCH($AA$3,$B$45:$B$53,0),MATCH(AD$4,$D$44:$E$44,0)),IF(AI73=0,"",AI73))),"")</f>
        <v/>
      </c>
      <c r="AE73" s="10" t="str">
        <f t="shared" si="84"/>
        <v/>
      </c>
      <c r="AF73" s="11" t="s">
        <v>22</v>
      </c>
      <c r="AG73" s="168" t="s">
        <v>22</v>
      </c>
      <c r="AH73" s="11" t="s">
        <v>22</v>
      </c>
      <c r="AI73" s="11" t="s">
        <v>22</v>
      </c>
      <c r="AJ73" s="139" t="str">
        <f>IF($E$5="Uniform Inputs",IF($Z73&gt;$E$13,"",IF($E$23="Pro-Rata",MIN(AL73*AE73,(($I$5+'Cash Flows'!$BX$8+INDEX('Cash Flows'!$C$19:$BW$19,1,MATCH(EOMONTH(AK73,MOD(-MONTH(AK73),3)-3),'Cash Flows'!$C$4:$BW$4,0)))-$AA$5)/$E$13),MIN($E$24,(($I$5+'Cash Flows'!$BX$8+INDEX('Cash Flows'!$C$19:$BW$19,1,MATCH(EOMONTH(AK73,MOD(-MONTH(AK73),3)-3),'Cash Flows'!$C$4:$BW$4,0)))-$AA$5)/$E$13))),IF(AO73=0,"",AO73))</f>
        <v/>
      </c>
      <c r="AK73" s="112" t="str">
        <f t="shared" si="61"/>
        <v/>
      </c>
      <c r="AL73" s="139" t="str">
        <f>IFERROR(IF($Z73&gt;$E$12,"",IF($E$5="Uniform Inputs",INDEX($D$45:$E$53,MATCH($AJ$3,$B$45:$B$53,0),MATCH(AL$4,$D$44:$E$44,0)),IF(AQ73=0,"",AQ73))),"")</f>
        <v/>
      </c>
      <c r="AM73" s="139" t="str">
        <f>IFERROR(IF($Z73&gt;$E$12,"",IF($E$5="Uniform Inputs",INDEX($D$45:$E$53,MATCH($AJ$3,$B$45:$B$53,0),MATCH(AM$4,$D$44:$E$44,0)),IF(AR73=0,"",AR73))),"")</f>
        <v/>
      </c>
      <c r="AN73" s="10" t="str">
        <f t="shared" si="62"/>
        <v/>
      </c>
      <c r="AO73" s="11" t="s">
        <v>22</v>
      </c>
      <c r="AP73" s="168" t="s">
        <v>22</v>
      </c>
      <c r="AQ73" s="11" t="s">
        <v>22</v>
      </c>
      <c r="AR73" s="11" t="s">
        <v>22</v>
      </c>
      <c r="AS73" s="139" t="str">
        <f>IF($E$5="Uniform Inputs",IF($Z73&gt;$E$14,"",IF($E$23="Pro-Rata",MIN(AU73*AN73,(($I$5+'Cash Flows'!$BX$8+INDEX('Cash Flows'!$C$19:$BW$19,1,MATCH(EOMONTH(AT73,MOD(-MONTH(AT73),3)-3),'Cash Flows'!$C$4:$BW$4,0)))-SUM($AJ$5,$AA$5))/$E$14),MIN($E$25,(($I$5+'Cash Flows'!$BX$8+INDEX('Cash Flows'!$C$19:$BW$19,1,MATCH(EOMONTH(AT73,MOD(-MONTH(AT73),3)-3),'Cash Flows'!$C$4:$BW$4,0)))-SUM($AJ$5,$AA$5))/$E$14))),IF(AX73=0,"",AX73))</f>
        <v/>
      </c>
      <c r="AT73" s="112" t="str">
        <f t="shared" si="63"/>
        <v/>
      </c>
      <c r="AU73" s="139" t="str">
        <f>IFERROR(IF($Z73&gt;$E$12,"",IF($E$5="Uniform Inputs",INDEX($D$45:$E$53,MATCH($AS$3,$B$45:$B$53,0),MATCH(AU$4,$D$44:$E$44,0)),IF(AZ73=0,"",AZ73))),"")</f>
        <v/>
      </c>
      <c r="AV73" s="139" t="str">
        <f>IFERROR(IF($Z73&gt;$E$12,"",IF($E$5="Uniform Inputs",INDEX($D$45:$E$53,MATCH($AS$3,$B$45:$B$53,0),MATCH(AV$4,$D$44:$E$44,0)),IF(BA73=0,"",BA73))),"")</f>
        <v/>
      </c>
      <c r="AW73" s="10" t="str">
        <f t="shared" si="64"/>
        <v/>
      </c>
      <c r="AX73" s="11" t="s">
        <v>22</v>
      </c>
      <c r="AY73" s="168" t="s">
        <v>22</v>
      </c>
      <c r="AZ73" s="11" t="s">
        <v>22</v>
      </c>
      <c r="BA73" s="11" t="s">
        <v>22</v>
      </c>
      <c r="BB73" s="139" t="str">
        <f>IF($E$5="Uniform Inputs",IF($Z73&gt;$E$15,"",IF($E$23="Pro-Rata",MIN(BD73*AW73,(($I$5+'Cash Flows'!$BX$8+INDEX('Cash Flows'!$C$19:$BW$19,1,MATCH(EOMONTH(BC73,MOD(-MONTH(BC73),3)-3),'Cash Flows'!$C$4:$BW$4,0)))-SUM($AS$5,$AJ$5,$AA$5))/$E$15),MIN($E$26,(($I$5+'Cash Flows'!$BX$8+INDEX('Cash Flows'!$C$19:$BW$19,1,MATCH(EOMONTH(BC73,MOD(-MONTH(BC73),3)-3),'Cash Flows'!$C$4:$BW$4,0)))-SUM($AS$5,$AJ$5,$AA$5))/$E$15))),IF(BG73=0,"",BG73))</f>
        <v/>
      </c>
      <c r="BC73" s="112" t="str">
        <f t="shared" si="65"/>
        <v/>
      </c>
      <c r="BD73" s="139" t="str">
        <f>IFERROR(IF($Z73&gt;$E$12,"",IF($E$5="Uniform Inputs",INDEX($D$45:$E$53,MATCH($BB$3,$B$45:$B$53,0),MATCH(BD$4,$D$44:$E$44,0)),IF(BI73=0,"",BI73))),"")</f>
        <v/>
      </c>
      <c r="BE73" s="139" t="str">
        <f>IFERROR(IF($Z73&gt;$E$12,"",IF($E$5="Uniform Inputs",INDEX($D$45:$E$53,MATCH($BB$3,$B$45:$B$53,0),MATCH(BE$4,$D$44:$E$44,0)),IF(BJ73=0,"",BJ73))),"")</f>
        <v/>
      </c>
      <c r="BF73" s="10" t="str">
        <f t="shared" si="66"/>
        <v/>
      </c>
      <c r="BG73" s="11" t="s">
        <v>22</v>
      </c>
      <c r="BH73" s="168" t="s">
        <v>22</v>
      </c>
      <c r="BI73" s="11" t="s">
        <v>22</v>
      </c>
      <c r="BJ73" s="11" t="s">
        <v>22</v>
      </c>
      <c r="BK73" s="139" t="str">
        <f>IF($E$5="Uniform Inputs",IF($Z73&gt;$E$16,"",IF($E$23="Pro-Rata",MIN(BM73*BF73,(($I$5+'Cash Flows'!$BX$8+INDEX('Cash Flows'!$C$19:$BW$19,1,MATCH(EOMONTH(BL73,MOD(-MONTH(BL73),3)-3),'Cash Flows'!$C$4:$BW$4,0)))-SUM($BB$5,$AS$5,$AJ$5,$AA$5))/$E$16),MIN($E$27,(($I$5+'Cash Flows'!$BX$8+INDEX('Cash Flows'!$C$19:$BW$19,1,MATCH(EOMONTH(BL73,MOD(-MONTH(BL73),3)-3),'Cash Flows'!$C$4:$BW$4,0)))-SUM($BB$5,$AS$5,$AJ$5,$AA$5))/$E$16))),IF(BP73=0,"",BP73))</f>
        <v/>
      </c>
      <c r="BL73" s="112" t="str">
        <f t="shared" si="67"/>
        <v/>
      </c>
      <c r="BM73" s="139" t="str">
        <f>IFERROR(IF($Z73&gt;$E$12,"",IF($E$5="Uniform Inputs",INDEX($D$45:$E$53,MATCH($BK$3,$B$45:$B$53,0),MATCH(BM$4,$D$44:$E$44,0)),IF(BR73=0,"",BR73))),"")</f>
        <v/>
      </c>
      <c r="BN73" s="139" t="str">
        <f>IFERROR(IF($Z73&gt;$E$12,"",IF($E$5="Uniform Inputs",INDEX($D$45:$E$53,MATCH($BK$3,$B$45:$B$53,0),MATCH(BN$4,$D$44:$E$44,0)),IF(BS73=0,"",BS73))),"")</f>
        <v/>
      </c>
      <c r="BO73" s="10" t="str">
        <f t="shared" si="68"/>
        <v/>
      </c>
      <c r="BP73" s="11" t="s">
        <v>22</v>
      </c>
      <c r="BQ73" s="168" t="s">
        <v>22</v>
      </c>
      <c r="BR73" s="11" t="s">
        <v>22</v>
      </c>
      <c r="BS73" s="11" t="s">
        <v>22</v>
      </c>
      <c r="BT73" s="139" t="str">
        <f t="shared" si="85"/>
        <v/>
      </c>
      <c r="BU73" s="112" t="str">
        <f t="shared" si="69"/>
        <v/>
      </c>
      <c r="BV73" s="139" t="str">
        <f>IFERROR(IF($Z73&gt;$E$12,"",IF($E$5="Uniform Inputs",INDEX($D$45:$E$53,MATCH($BT$3,$B$45:$B$53,0),MATCH(BV$4,$D$44:$E$44,0)),IF(CA73=0,"",CA73))),"")</f>
        <v/>
      </c>
      <c r="BW73" s="139" t="str">
        <f>IFERROR(IF($Z73&gt;$E$12,"",IF($E$5="Uniform Inputs",INDEX($D$45:$E$53,MATCH($BT$3,$B$45:$B$53,0),MATCH(BW$4,$D$44:$E$44,0)),IF(CB73=0,"",CB73))),"")</f>
        <v/>
      </c>
      <c r="BX73" s="10" t="str">
        <f t="shared" si="70"/>
        <v/>
      </c>
      <c r="BY73" s="11" t="s">
        <v>22</v>
      </c>
      <c r="BZ73" s="168" t="s">
        <v>22</v>
      </c>
      <c r="CA73" s="11" t="s">
        <v>22</v>
      </c>
      <c r="CB73" s="11" t="s">
        <v>22</v>
      </c>
      <c r="CC73" s="139" t="str">
        <f t="shared" si="86"/>
        <v/>
      </c>
      <c r="CD73" s="112" t="str">
        <f t="shared" si="71"/>
        <v/>
      </c>
      <c r="CE73" s="139" t="str">
        <f>IFERROR(IF($Z73&gt;$E$12,"",IF($E$5="Uniform Inputs",INDEX($D$45:$E$53,MATCH($CC$3,$B$45:$B$53,0),MATCH(CE$4,$D$44:$E$44,0)),IF(CJ73=0,"",CJ73))),"")</f>
        <v/>
      </c>
      <c r="CF73" s="139" t="str">
        <f>IFERROR(IF($Z73&gt;$E$12,"",IF($E$5="Uniform Inputs",INDEX($D$45:$E$53,MATCH($CC$3,$B$45:$B$53,0),MATCH(CF$4,$D$44:$E$44,0)),IF(CK73=0,"",CK73))),"")</f>
        <v/>
      </c>
      <c r="CG73" s="10" t="str">
        <f t="shared" si="72"/>
        <v/>
      </c>
      <c r="CH73" s="11" t="s">
        <v>22</v>
      </c>
      <c r="CI73" s="168" t="s">
        <v>22</v>
      </c>
      <c r="CJ73" s="11" t="s">
        <v>22</v>
      </c>
      <c r="CK73" s="11" t="s">
        <v>22</v>
      </c>
      <c r="CL73" s="139" t="str">
        <f t="shared" si="87"/>
        <v/>
      </c>
      <c r="CM73" s="112" t="str">
        <f t="shared" si="73"/>
        <v/>
      </c>
      <c r="CN73" s="139" t="str">
        <f>IFERROR(IF($Z73&gt;$E$12,"",IF($E$5="Uniform Inputs",INDEX($D$45:$E$53,MATCH($CL$3,$B$45:$B$53,0),MATCH(CN$4,$D$44:$E$44,0)),IF(CS73=0,"",CS73))),"")</f>
        <v/>
      </c>
      <c r="CO73" s="139" t="str">
        <f>IFERROR(IF($Z73&gt;$E$12,"",IF($E$5="Uniform Inputs",INDEX($D$45:$E$53,MATCH($CL$3,$B$45:$B$53,0),MATCH(CO$4,$D$44:$E$44,0)),IF(CT73=0,"",CT73))),"")</f>
        <v/>
      </c>
      <c r="CP73" s="10" t="str">
        <f t="shared" si="74"/>
        <v/>
      </c>
      <c r="CQ73" s="11" t="s">
        <v>22</v>
      </c>
      <c r="CR73" s="168" t="s">
        <v>22</v>
      </c>
      <c r="CS73" s="11" t="s">
        <v>22</v>
      </c>
      <c r="CT73" s="11" t="s">
        <v>22</v>
      </c>
      <c r="CU73" s="139" t="str">
        <f t="shared" si="88"/>
        <v/>
      </c>
      <c r="CV73" s="112" t="str">
        <f t="shared" si="75"/>
        <v/>
      </c>
      <c r="CW73" s="139" t="str">
        <f>IFERROR(IF($Z73&gt;$E$12,"",IF($E$5="Uniform Inputs",INDEX($D$45:$E$53,MATCH($CU$3,$B$45:$B$53,0),MATCH(CW$4,$D$44:$E$44,0)),IF(DB73=0,"",DB73))),"")</f>
        <v/>
      </c>
      <c r="CX73" s="139" t="str">
        <f>IFERROR(IF($Z73&gt;$E$12,"",IF($E$5="Uniform Inputs",INDEX($D$45:$E$53,MATCH($CU$3,$B$45:$B$53,0),MATCH(CX$4,$D$44:$E$44,0)),IF(DC73=0,"",DC73))),"")</f>
        <v/>
      </c>
      <c r="CY73" s="10" t="str">
        <f t="shared" si="76"/>
        <v/>
      </c>
      <c r="CZ73" s="11" t="s">
        <v>22</v>
      </c>
      <c r="DA73" s="168" t="s">
        <v>22</v>
      </c>
      <c r="DB73" s="11" t="s">
        <v>22</v>
      </c>
      <c r="DC73" s="11" t="s">
        <v>22</v>
      </c>
    </row>
    <row r="74" spans="2:107" x14ac:dyDescent="0.25">
      <c r="B74" s="3" t="s">
        <v>22</v>
      </c>
      <c r="C74" s="3" t="s">
        <v>22</v>
      </c>
      <c r="D74" s="2" t="s">
        <v>22</v>
      </c>
      <c r="K74" s="6" t="str">
        <f t="shared" si="77"/>
        <v/>
      </c>
      <c r="O74" s="6" t="str">
        <f t="shared" si="78"/>
        <v/>
      </c>
      <c r="P74" s="35" t="str">
        <f t="shared" si="56"/>
        <v/>
      </c>
      <c r="Q74" s="102" t="str">
        <f t="shared" si="57"/>
        <v/>
      </c>
      <c r="R74" s="102" t="str">
        <f t="shared" ca="1" si="58"/>
        <v/>
      </c>
      <c r="S74" s="112" t="str">
        <f t="shared" si="79"/>
        <v/>
      </c>
      <c r="T74" s="112" t="str">
        <f t="shared" ca="1" si="59"/>
        <v/>
      </c>
      <c r="U74" s="1" t="str">
        <f t="shared" si="80"/>
        <v/>
      </c>
      <c r="V74" s="1" t="str">
        <f t="shared" ca="1" si="60"/>
        <v/>
      </c>
      <c r="W74" s="34" t="str">
        <f t="shared" ca="1" si="81"/>
        <v/>
      </c>
      <c r="Y74" s="2">
        <v>69</v>
      </c>
      <c r="Z74" s="6" t="str">
        <f t="shared" si="82"/>
        <v/>
      </c>
      <c r="AA74" s="139" t="str">
        <f>IF($E$5="Uniform Inputs",IF($Z74&gt;$E$12,"",MIN($E$21,($I$5+'Cash Flows'!$BX$8+INDEX('Cash Flows'!$C$19:$BW$19,1,MATCH(EOMONTH(AB74,MOD(-MONTH(AB74),3)-3),'Cash Flows'!$C$4:$BW$4,0)))/$E$12)),IF(AF74&gt;0,AF74,""))</f>
        <v/>
      </c>
      <c r="AB74" s="112" t="str">
        <f t="shared" si="83"/>
        <v/>
      </c>
      <c r="AC74" s="139" t="str">
        <f>IFERROR(IF($Z74&gt;$E$12,"",IF($E$5="Uniform Inputs",INDEX($D$45:$E$53,MATCH($AA$3,$B$45:$B$53,0),MATCH(AC$4,$D$44:$E$44,0)),IF(AH74=0,"",AH74))),"")</f>
        <v/>
      </c>
      <c r="AD74" s="139" t="str">
        <f>IFERROR(IF($Z74&gt;$E$12,"",IF($E$5="Uniform Inputs",INDEX($D$45:$E$53,MATCH($AA$3,$B$45:$B$53,0),MATCH(AD$4,$D$44:$E$44,0)),IF(AI74=0,"",AI74))),"")</f>
        <v/>
      </c>
      <c r="AE74" s="10" t="str">
        <f t="shared" si="84"/>
        <v/>
      </c>
      <c r="AF74" s="11" t="s">
        <v>22</v>
      </c>
      <c r="AG74" s="168" t="s">
        <v>22</v>
      </c>
      <c r="AH74" s="11" t="s">
        <v>22</v>
      </c>
      <c r="AI74" s="11" t="s">
        <v>22</v>
      </c>
      <c r="AJ74" s="139" t="str">
        <f>IF($E$5="Uniform Inputs",IF($Z74&gt;$E$13,"",IF($E$23="Pro-Rata",MIN(AL74*AE74,(($I$5+'Cash Flows'!$BX$8+INDEX('Cash Flows'!$C$19:$BW$19,1,MATCH(EOMONTH(AK74,MOD(-MONTH(AK74),3)-3),'Cash Flows'!$C$4:$BW$4,0)))-$AA$5)/$E$13),MIN($E$24,(($I$5+'Cash Flows'!$BX$8+INDEX('Cash Flows'!$C$19:$BW$19,1,MATCH(EOMONTH(AK74,MOD(-MONTH(AK74),3)-3),'Cash Flows'!$C$4:$BW$4,0)))-$AA$5)/$E$13))),IF(AO74=0,"",AO74))</f>
        <v/>
      </c>
      <c r="AK74" s="112" t="str">
        <f t="shared" si="61"/>
        <v/>
      </c>
      <c r="AL74" s="139" t="str">
        <f>IFERROR(IF($Z74&gt;$E$12,"",IF($E$5="Uniform Inputs",INDEX($D$45:$E$53,MATCH($AJ$3,$B$45:$B$53,0),MATCH(AL$4,$D$44:$E$44,0)),IF(AQ74=0,"",AQ74))),"")</f>
        <v/>
      </c>
      <c r="AM74" s="139" t="str">
        <f>IFERROR(IF($Z74&gt;$E$12,"",IF($E$5="Uniform Inputs",INDEX($D$45:$E$53,MATCH($AJ$3,$B$45:$B$53,0),MATCH(AM$4,$D$44:$E$44,0)),IF(AR74=0,"",AR74))),"")</f>
        <v/>
      </c>
      <c r="AN74" s="10" t="str">
        <f t="shared" si="62"/>
        <v/>
      </c>
      <c r="AO74" s="11" t="s">
        <v>22</v>
      </c>
      <c r="AP74" s="168" t="s">
        <v>22</v>
      </c>
      <c r="AQ74" s="11" t="s">
        <v>22</v>
      </c>
      <c r="AR74" s="11" t="s">
        <v>22</v>
      </c>
      <c r="AS74" s="139" t="str">
        <f>IF($E$5="Uniform Inputs",IF($Z74&gt;$E$14,"",IF($E$23="Pro-Rata",MIN(AU74*AN74,(($I$5+'Cash Flows'!$BX$8+INDEX('Cash Flows'!$C$19:$BW$19,1,MATCH(EOMONTH(AT74,MOD(-MONTH(AT74),3)-3),'Cash Flows'!$C$4:$BW$4,0)))-SUM($AJ$5,$AA$5))/$E$14),MIN($E$25,(($I$5+'Cash Flows'!$BX$8+INDEX('Cash Flows'!$C$19:$BW$19,1,MATCH(EOMONTH(AT74,MOD(-MONTH(AT74),3)-3),'Cash Flows'!$C$4:$BW$4,0)))-SUM($AJ$5,$AA$5))/$E$14))),IF(AX74=0,"",AX74))</f>
        <v/>
      </c>
      <c r="AT74" s="112" t="str">
        <f t="shared" si="63"/>
        <v/>
      </c>
      <c r="AU74" s="139" t="str">
        <f>IFERROR(IF($Z74&gt;$E$12,"",IF($E$5="Uniform Inputs",INDEX($D$45:$E$53,MATCH($AS$3,$B$45:$B$53,0),MATCH(AU$4,$D$44:$E$44,0)),IF(AZ74=0,"",AZ74))),"")</f>
        <v/>
      </c>
      <c r="AV74" s="139" t="str">
        <f>IFERROR(IF($Z74&gt;$E$12,"",IF($E$5="Uniform Inputs",INDEX($D$45:$E$53,MATCH($AS$3,$B$45:$B$53,0),MATCH(AV$4,$D$44:$E$44,0)),IF(BA74=0,"",BA74))),"")</f>
        <v/>
      </c>
      <c r="AW74" s="10" t="str">
        <f t="shared" si="64"/>
        <v/>
      </c>
      <c r="AX74" s="11" t="s">
        <v>22</v>
      </c>
      <c r="AY74" s="168" t="s">
        <v>22</v>
      </c>
      <c r="AZ74" s="11" t="s">
        <v>22</v>
      </c>
      <c r="BA74" s="11" t="s">
        <v>22</v>
      </c>
      <c r="BB74" s="139" t="str">
        <f>IF($E$5="Uniform Inputs",IF($Z74&gt;$E$15,"",IF($E$23="Pro-Rata",MIN(BD74*AW74,(($I$5+'Cash Flows'!$BX$8+INDEX('Cash Flows'!$C$19:$BW$19,1,MATCH(EOMONTH(BC74,MOD(-MONTH(BC74),3)-3),'Cash Flows'!$C$4:$BW$4,0)))-SUM($AS$5,$AJ$5,$AA$5))/$E$15),MIN($E$26,(($I$5+'Cash Flows'!$BX$8+INDEX('Cash Flows'!$C$19:$BW$19,1,MATCH(EOMONTH(BC74,MOD(-MONTH(BC74),3)-3),'Cash Flows'!$C$4:$BW$4,0)))-SUM($AS$5,$AJ$5,$AA$5))/$E$15))),IF(BG74=0,"",BG74))</f>
        <v/>
      </c>
      <c r="BC74" s="112" t="str">
        <f t="shared" si="65"/>
        <v/>
      </c>
      <c r="BD74" s="139" t="str">
        <f>IFERROR(IF($Z74&gt;$E$12,"",IF($E$5="Uniform Inputs",INDEX($D$45:$E$53,MATCH($BB$3,$B$45:$B$53,0),MATCH(BD$4,$D$44:$E$44,0)),IF(BI74=0,"",BI74))),"")</f>
        <v/>
      </c>
      <c r="BE74" s="139" t="str">
        <f>IFERROR(IF($Z74&gt;$E$12,"",IF($E$5="Uniform Inputs",INDEX($D$45:$E$53,MATCH($BB$3,$B$45:$B$53,0),MATCH(BE$4,$D$44:$E$44,0)),IF(BJ74=0,"",BJ74))),"")</f>
        <v/>
      </c>
      <c r="BF74" s="10" t="str">
        <f t="shared" si="66"/>
        <v/>
      </c>
      <c r="BG74" s="11" t="s">
        <v>22</v>
      </c>
      <c r="BH74" s="168" t="s">
        <v>22</v>
      </c>
      <c r="BI74" s="11" t="s">
        <v>22</v>
      </c>
      <c r="BJ74" s="11" t="s">
        <v>22</v>
      </c>
      <c r="BK74" s="139" t="str">
        <f>IF($E$5="Uniform Inputs",IF($Z74&gt;$E$16,"",IF($E$23="Pro-Rata",MIN(BM74*BF74,(($I$5+'Cash Flows'!$BX$8+INDEX('Cash Flows'!$C$19:$BW$19,1,MATCH(EOMONTH(BL74,MOD(-MONTH(BL74),3)-3),'Cash Flows'!$C$4:$BW$4,0)))-SUM($BB$5,$AS$5,$AJ$5,$AA$5))/$E$16),MIN($E$27,(($I$5+'Cash Flows'!$BX$8+INDEX('Cash Flows'!$C$19:$BW$19,1,MATCH(EOMONTH(BL74,MOD(-MONTH(BL74),3)-3),'Cash Flows'!$C$4:$BW$4,0)))-SUM($BB$5,$AS$5,$AJ$5,$AA$5))/$E$16))),IF(BP74=0,"",BP74))</f>
        <v/>
      </c>
      <c r="BL74" s="112" t="str">
        <f t="shared" si="67"/>
        <v/>
      </c>
      <c r="BM74" s="139" t="str">
        <f>IFERROR(IF($Z74&gt;$E$12,"",IF($E$5="Uniform Inputs",INDEX($D$45:$E$53,MATCH($BK$3,$B$45:$B$53,0),MATCH(BM$4,$D$44:$E$44,0)),IF(BR74=0,"",BR74))),"")</f>
        <v/>
      </c>
      <c r="BN74" s="139" t="str">
        <f>IFERROR(IF($Z74&gt;$E$12,"",IF($E$5="Uniform Inputs",INDEX($D$45:$E$53,MATCH($BK$3,$B$45:$B$53,0),MATCH(BN$4,$D$44:$E$44,0)),IF(BS74=0,"",BS74))),"")</f>
        <v/>
      </c>
      <c r="BO74" s="10" t="str">
        <f t="shared" si="68"/>
        <v/>
      </c>
      <c r="BP74" s="11" t="s">
        <v>22</v>
      </c>
      <c r="BQ74" s="168" t="s">
        <v>22</v>
      </c>
      <c r="BR74" s="11" t="s">
        <v>22</v>
      </c>
      <c r="BS74" s="11" t="s">
        <v>22</v>
      </c>
      <c r="BT74" s="139" t="str">
        <f t="shared" si="85"/>
        <v/>
      </c>
      <c r="BU74" s="112" t="str">
        <f t="shared" si="69"/>
        <v/>
      </c>
      <c r="BV74" s="139" t="str">
        <f>IFERROR(IF($Z74&gt;$E$12,"",IF($E$5="Uniform Inputs",INDEX($D$45:$E$53,MATCH($BT$3,$B$45:$B$53,0),MATCH(BV$4,$D$44:$E$44,0)),IF(CA74=0,"",CA74))),"")</f>
        <v/>
      </c>
      <c r="BW74" s="139" t="str">
        <f>IFERROR(IF($Z74&gt;$E$12,"",IF($E$5="Uniform Inputs",INDEX($D$45:$E$53,MATCH($BT$3,$B$45:$B$53,0),MATCH(BW$4,$D$44:$E$44,0)),IF(CB74=0,"",CB74))),"")</f>
        <v/>
      </c>
      <c r="BX74" s="10" t="str">
        <f t="shared" si="70"/>
        <v/>
      </c>
      <c r="BY74" s="11" t="s">
        <v>22</v>
      </c>
      <c r="BZ74" s="168" t="s">
        <v>22</v>
      </c>
      <c r="CA74" s="11" t="s">
        <v>22</v>
      </c>
      <c r="CB74" s="11" t="s">
        <v>22</v>
      </c>
      <c r="CC74" s="139" t="str">
        <f t="shared" si="86"/>
        <v/>
      </c>
      <c r="CD74" s="112" t="str">
        <f t="shared" si="71"/>
        <v/>
      </c>
      <c r="CE74" s="139" t="str">
        <f>IFERROR(IF($Z74&gt;$E$12,"",IF($E$5="Uniform Inputs",INDEX($D$45:$E$53,MATCH($CC$3,$B$45:$B$53,0),MATCH(CE$4,$D$44:$E$44,0)),IF(CJ74=0,"",CJ74))),"")</f>
        <v/>
      </c>
      <c r="CF74" s="139" t="str">
        <f>IFERROR(IF($Z74&gt;$E$12,"",IF($E$5="Uniform Inputs",INDEX($D$45:$E$53,MATCH($CC$3,$B$45:$B$53,0),MATCH(CF$4,$D$44:$E$44,0)),IF(CK74=0,"",CK74))),"")</f>
        <v/>
      </c>
      <c r="CG74" s="10" t="str">
        <f t="shared" si="72"/>
        <v/>
      </c>
      <c r="CH74" s="11" t="s">
        <v>22</v>
      </c>
      <c r="CI74" s="168" t="s">
        <v>22</v>
      </c>
      <c r="CJ74" s="11" t="s">
        <v>22</v>
      </c>
      <c r="CK74" s="11" t="s">
        <v>22</v>
      </c>
      <c r="CL74" s="139" t="str">
        <f t="shared" si="87"/>
        <v/>
      </c>
      <c r="CM74" s="112" t="str">
        <f t="shared" si="73"/>
        <v/>
      </c>
      <c r="CN74" s="139" t="str">
        <f>IFERROR(IF($Z74&gt;$E$12,"",IF($E$5="Uniform Inputs",INDEX($D$45:$E$53,MATCH($CL$3,$B$45:$B$53,0),MATCH(CN$4,$D$44:$E$44,0)),IF(CS74=0,"",CS74))),"")</f>
        <v/>
      </c>
      <c r="CO74" s="139" t="str">
        <f>IFERROR(IF($Z74&gt;$E$12,"",IF($E$5="Uniform Inputs",INDEX($D$45:$E$53,MATCH($CL$3,$B$45:$B$53,0),MATCH(CO$4,$D$44:$E$44,0)),IF(CT74=0,"",CT74))),"")</f>
        <v/>
      </c>
      <c r="CP74" s="10" t="str">
        <f t="shared" si="74"/>
        <v/>
      </c>
      <c r="CQ74" s="11" t="s">
        <v>22</v>
      </c>
      <c r="CR74" s="168" t="s">
        <v>22</v>
      </c>
      <c r="CS74" s="11" t="s">
        <v>22</v>
      </c>
      <c r="CT74" s="11" t="s">
        <v>22</v>
      </c>
      <c r="CU74" s="139" t="str">
        <f t="shared" si="88"/>
        <v/>
      </c>
      <c r="CV74" s="112" t="str">
        <f t="shared" si="75"/>
        <v/>
      </c>
      <c r="CW74" s="139" t="str">
        <f>IFERROR(IF($Z74&gt;$E$12,"",IF($E$5="Uniform Inputs",INDEX($D$45:$E$53,MATCH($CU$3,$B$45:$B$53,0),MATCH(CW$4,$D$44:$E$44,0)),IF(DB74=0,"",DB74))),"")</f>
        <v/>
      </c>
      <c r="CX74" s="139" t="str">
        <f>IFERROR(IF($Z74&gt;$E$12,"",IF($E$5="Uniform Inputs",INDEX($D$45:$E$53,MATCH($CU$3,$B$45:$B$53,0),MATCH(CX$4,$D$44:$E$44,0)),IF(DC74=0,"",DC74))),"")</f>
        <v/>
      </c>
      <c r="CY74" s="10" t="str">
        <f t="shared" si="76"/>
        <v/>
      </c>
      <c r="CZ74" s="11" t="s">
        <v>22</v>
      </c>
      <c r="DA74" s="168" t="s">
        <v>22</v>
      </c>
      <c r="DB74" s="11" t="s">
        <v>22</v>
      </c>
      <c r="DC74" s="11" t="s">
        <v>22</v>
      </c>
    </row>
    <row r="75" spans="2:107" x14ac:dyDescent="0.25">
      <c r="B75" s="3" t="s">
        <v>22</v>
      </c>
      <c r="C75" s="3" t="s">
        <v>22</v>
      </c>
      <c r="D75" s="2" t="s">
        <v>22</v>
      </c>
      <c r="K75" s="6" t="str">
        <f t="shared" si="77"/>
        <v/>
      </c>
      <c r="O75" s="6" t="str">
        <f t="shared" si="78"/>
        <v/>
      </c>
      <c r="P75" s="35" t="str">
        <f t="shared" si="56"/>
        <v/>
      </c>
      <c r="Q75" s="102" t="str">
        <f t="shared" si="57"/>
        <v/>
      </c>
      <c r="R75" s="102" t="str">
        <f t="shared" ca="1" si="58"/>
        <v/>
      </c>
      <c r="S75" s="112" t="str">
        <f t="shared" si="79"/>
        <v/>
      </c>
      <c r="T75" s="112" t="str">
        <f t="shared" ca="1" si="59"/>
        <v/>
      </c>
      <c r="U75" s="1" t="str">
        <f t="shared" si="80"/>
        <v/>
      </c>
      <c r="V75" s="1" t="str">
        <f t="shared" ca="1" si="60"/>
        <v/>
      </c>
      <c r="W75" s="34" t="str">
        <f t="shared" ca="1" si="81"/>
        <v/>
      </c>
      <c r="Y75" s="2">
        <v>70</v>
      </c>
      <c r="Z75" s="6" t="str">
        <f t="shared" si="82"/>
        <v/>
      </c>
      <c r="AA75" s="139" t="str">
        <f>IF($E$5="Uniform Inputs",IF($Z75&gt;$E$12,"",MIN($E$21,($I$5+'Cash Flows'!$BX$8+INDEX('Cash Flows'!$C$19:$BW$19,1,MATCH(EOMONTH(AB75,MOD(-MONTH(AB75),3)-3),'Cash Flows'!$C$4:$BW$4,0)))/$E$12)),IF(AF75&gt;0,AF75,""))</f>
        <v/>
      </c>
      <c r="AB75" s="112" t="str">
        <f t="shared" si="83"/>
        <v/>
      </c>
      <c r="AC75" s="139" t="str">
        <f>IFERROR(IF($Z75&gt;$E$12,"",IF($E$5="Uniform Inputs",INDEX($D$45:$E$53,MATCH($AA$3,$B$45:$B$53,0),MATCH(AC$4,$D$44:$E$44,0)),IF(AH75=0,"",AH75))),"")</f>
        <v/>
      </c>
      <c r="AD75" s="139" t="str">
        <f>IFERROR(IF($Z75&gt;$E$12,"",IF($E$5="Uniform Inputs",INDEX($D$45:$E$53,MATCH($AA$3,$B$45:$B$53,0),MATCH(AD$4,$D$44:$E$44,0)),IF(AI75=0,"",AI75))),"")</f>
        <v/>
      </c>
      <c r="AE75" s="10" t="str">
        <f t="shared" si="84"/>
        <v/>
      </c>
      <c r="AF75" s="11" t="s">
        <v>22</v>
      </c>
      <c r="AG75" s="168" t="s">
        <v>22</v>
      </c>
      <c r="AH75" s="11" t="s">
        <v>22</v>
      </c>
      <c r="AI75" s="11" t="s">
        <v>22</v>
      </c>
      <c r="AJ75" s="139" t="str">
        <f>IF($E$5="Uniform Inputs",IF($Z75&gt;$E$13,"",IF($E$23="Pro-Rata",MIN(AL75*AE75,(($I$5+'Cash Flows'!$BX$8+INDEX('Cash Flows'!$C$19:$BW$19,1,MATCH(EOMONTH(AK75,MOD(-MONTH(AK75),3)-3),'Cash Flows'!$C$4:$BW$4,0)))-$AA$5)/$E$13),MIN($E$24,(($I$5+'Cash Flows'!$BX$8+INDEX('Cash Flows'!$C$19:$BW$19,1,MATCH(EOMONTH(AK75,MOD(-MONTH(AK75),3)-3),'Cash Flows'!$C$4:$BW$4,0)))-$AA$5)/$E$13))),IF(AO75=0,"",AO75))</f>
        <v/>
      </c>
      <c r="AK75" s="112" t="str">
        <f t="shared" si="61"/>
        <v/>
      </c>
      <c r="AL75" s="139" t="str">
        <f>IFERROR(IF($Z75&gt;$E$12,"",IF($E$5="Uniform Inputs",INDEX($D$45:$E$53,MATCH($AJ$3,$B$45:$B$53,0),MATCH(AL$4,$D$44:$E$44,0)),IF(AQ75=0,"",AQ75))),"")</f>
        <v/>
      </c>
      <c r="AM75" s="139" t="str">
        <f>IFERROR(IF($Z75&gt;$E$12,"",IF($E$5="Uniform Inputs",INDEX($D$45:$E$53,MATCH($AJ$3,$B$45:$B$53,0),MATCH(AM$4,$D$44:$E$44,0)),IF(AR75=0,"",AR75))),"")</f>
        <v/>
      </c>
      <c r="AN75" s="10" t="str">
        <f t="shared" si="62"/>
        <v/>
      </c>
      <c r="AO75" s="11" t="s">
        <v>22</v>
      </c>
      <c r="AP75" s="168" t="s">
        <v>22</v>
      </c>
      <c r="AQ75" s="11" t="s">
        <v>22</v>
      </c>
      <c r="AR75" s="11" t="s">
        <v>22</v>
      </c>
      <c r="AS75" s="139" t="str">
        <f>IF($E$5="Uniform Inputs",IF($Z75&gt;$E$14,"",IF($E$23="Pro-Rata",MIN(AU75*AN75,(($I$5+'Cash Flows'!$BX$8+INDEX('Cash Flows'!$C$19:$BW$19,1,MATCH(EOMONTH(AT75,MOD(-MONTH(AT75),3)-3),'Cash Flows'!$C$4:$BW$4,0)))-SUM($AJ$5,$AA$5))/$E$14),MIN($E$25,(($I$5+'Cash Flows'!$BX$8+INDEX('Cash Flows'!$C$19:$BW$19,1,MATCH(EOMONTH(AT75,MOD(-MONTH(AT75),3)-3),'Cash Flows'!$C$4:$BW$4,0)))-SUM($AJ$5,$AA$5))/$E$14))),IF(AX75=0,"",AX75))</f>
        <v/>
      </c>
      <c r="AT75" s="112" t="str">
        <f t="shared" si="63"/>
        <v/>
      </c>
      <c r="AU75" s="139" t="str">
        <f>IFERROR(IF($Z75&gt;$E$12,"",IF($E$5="Uniform Inputs",INDEX($D$45:$E$53,MATCH($AS$3,$B$45:$B$53,0),MATCH(AU$4,$D$44:$E$44,0)),IF(AZ75=0,"",AZ75))),"")</f>
        <v/>
      </c>
      <c r="AV75" s="139" t="str">
        <f>IFERROR(IF($Z75&gt;$E$12,"",IF($E$5="Uniform Inputs",INDEX($D$45:$E$53,MATCH($AS$3,$B$45:$B$53,0),MATCH(AV$4,$D$44:$E$44,0)),IF(BA75=0,"",BA75))),"")</f>
        <v/>
      </c>
      <c r="AW75" s="10" t="str">
        <f t="shared" si="64"/>
        <v/>
      </c>
      <c r="AX75" s="11" t="s">
        <v>22</v>
      </c>
      <c r="AY75" s="168" t="s">
        <v>22</v>
      </c>
      <c r="AZ75" s="11" t="s">
        <v>22</v>
      </c>
      <c r="BA75" s="11" t="s">
        <v>22</v>
      </c>
      <c r="BB75" s="139" t="str">
        <f>IF($E$5="Uniform Inputs",IF($Z75&gt;$E$15,"",IF($E$23="Pro-Rata",MIN(BD75*AW75,(($I$5+'Cash Flows'!$BX$8+INDEX('Cash Flows'!$C$19:$BW$19,1,MATCH(EOMONTH(BC75,MOD(-MONTH(BC75),3)-3),'Cash Flows'!$C$4:$BW$4,0)))-SUM($AS$5,$AJ$5,$AA$5))/$E$15),MIN($E$26,(($I$5+'Cash Flows'!$BX$8+INDEX('Cash Flows'!$C$19:$BW$19,1,MATCH(EOMONTH(BC75,MOD(-MONTH(BC75),3)-3),'Cash Flows'!$C$4:$BW$4,0)))-SUM($AS$5,$AJ$5,$AA$5))/$E$15))),IF(BG75=0,"",BG75))</f>
        <v/>
      </c>
      <c r="BC75" s="112" t="str">
        <f t="shared" si="65"/>
        <v/>
      </c>
      <c r="BD75" s="139" t="str">
        <f>IFERROR(IF($Z75&gt;$E$12,"",IF($E$5="Uniform Inputs",INDEX($D$45:$E$53,MATCH($BB$3,$B$45:$B$53,0),MATCH(BD$4,$D$44:$E$44,0)),IF(BI75=0,"",BI75))),"")</f>
        <v/>
      </c>
      <c r="BE75" s="139" t="str">
        <f>IFERROR(IF($Z75&gt;$E$12,"",IF($E$5="Uniform Inputs",INDEX($D$45:$E$53,MATCH($BB$3,$B$45:$B$53,0),MATCH(BE$4,$D$44:$E$44,0)),IF(BJ75=0,"",BJ75))),"")</f>
        <v/>
      </c>
      <c r="BF75" s="10" t="str">
        <f t="shared" si="66"/>
        <v/>
      </c>
      <c r="BG75" s="11" t="s">
        <v>22</v>
      </c>
      <c r="BH75" s="168" t="s">
        <v>22</v>
      </c>
      <c r="BI75" s="11" t="s">
        <v>22</v>
      </c>
      <c r="BJ75" s="11" t="s">
        <v>22</v>
      </c>
      <c r="BK75" s="139" t="str">
        <f>IF($E$5="Uniform Inputs",IF($Z75&gt;$E$16,"",IF($E$23="Pro-Rata",MIN(BM75*BF75,(($I$5+'Cash Flows'!$BX$8+INDEX('Cash Flows'!$C$19:$BW$19,1,MATCH(EOMONTH(BL75,MOD(-MONTH(BL75),3)-3),'Cash Flows'!$C$4:$BW$4,0)))-SUM($BB$5,$AS$5,$AJ$5,$AA$5))/$E$16),MIN($E$27,(($I$5+'Cash Flows'!$BX$8+INDEX('Cash Flows'!$C$19:$BW$19,1,MATCH(EOMONTH(BL75,MOD(-MONTH(BL75),3)-3),'Cash Flows'!$C$4:$BW$4,0)))-SUM($BB$5,$AS$5,$AJ$5,$AA$5))/$E$16))),IF(BP75=0,"",BP75))</f>
        <v/>
      </c>
      <c r="BL75" s="112" t="str">
        <f t="shared" si="67"/>
        <v/>
      </c>
      <c r="BM75" s="139" t="str">
        <f>IFERROR(IF($Z75&gt;$E$12,"",IF($E$5="Uniform Inputs",INDEX($D$45:$E$53,MATCH($BK$3,$B$45:$B$53,0),MATCH(BM$4,$D$44:$E$44,0)),IF(BR75=0,"",BR75))),"")</f>
        <v/>
      </c>
      <c r="BN75" s="139" t="str">
        <f>IFERROR(IF($Z75&gt;$E$12,"",IF($E$5="Uniform Inputs",INDEX($D$45:$E$53,MATCH($BK$3,$B$45:$B$53,0),MATCH(BN$4,$D$44:$E$44,0)),IF(BS75=0,"",BS75))),"")</f>
        <v/>
      </c>
      <c r="BO75" s="10" t="str">
        <f t="shared" si="68"/>
        <v/>
      </c>
      <c r="BP75" s="11" t="s">
        <v>22</v>
      </c>
      <c r="BQ75" s="168" t="s">
        <v>22</v>
      </c>
      <c r="BR75" s="11" t="s">
        <v>22</v>
      </c>
      <c r="BS75" s="11" t="s">
        <v>22</v>
      </c>
      <c r="BT75" s="139" t="str">
        <f t="shared" si="85"/>
        <v/>
      </c>
      <c r="BU75" s="112" t="str">
        <f t="shared" si="69"/>
        <v/>
      </c>
      <c r="BV75" s="139" t="str">
        <f>IFERROR(IF($Z75&gt;$E$12,"",IF($E$5="Uniform Inputs",INDEX($D$45:$E$53,MATCH($BT$3,$B$45:$B$53,0),MATCH(BV$4,$D$44:$E$44,0)),IF(CA75=0,"",CA75))),"")</f>
        <v/>
      </c>
      <c r="BW75" s="139" t="str">
        <f>IFERROR(IF($Z75&gt;$E$12,"",IF($E$5="Uniform Inputs",INDEX($D$45:$E$53,MATCH($BT$3,$B$45:$B$53,0),MATCH(BW$4,$D$44:$E$44,0)),IF(CB75=0,"",CB75))),"")</f>
        <v/>
      </c>
      <c r="BX75" s="10" t="str">
        <f t="shared" si="70"/>
        <v/>
      </c>
      <c r="BY75" s="11" t="s">
        <v>22</v>
      </c>
      <c r="BZ75" s="168" t="s">
        <v>22</v>
      </c>
      <c r="CA75" s="11" t="s">
        <v>22</v>
      </c>
      <c r="CB75" s="11" t="s">
        <v>22</v>
      </c>
      <c r="CC75" s="139" t="str">
        <f t="shared" si="86"/>
        <v/>
      </c>
      <c r="CD75" s="112" t="str">
        <f t="shared" si="71"/>
        <v/>
      </c>
      <c r="CE75" s="139" t="str">
        <f>IFERROR(IF($Z75&gt;$E$12,"",IF($E$5="Uniform Inputs",INDEX($D$45:$E$53,MATCH($CC$3,$B$45:$B$53,0),MATCH(CE$4,$D$44:$E$44,0)),IF(CJ75=0,"",CJ75))),"")</f>
        <v/>
      </c>
      <c r="CF75" s="139" t="str">
        <f>IFERROR(IF($Z75&gt;$E$12,"",IF($E$5="Uniform Inputs",INDEX($D$45:$E$53,MATCH($CC$3,$B$45:$B$53,0),MATCH(CF$4,$D$44:$E$44,0)),IF(CK75=0,"",CK75))),"")</f>
        <v/>
      </c>
      <c r="CG75" s="10" t="str">
        <f t="shared" si="72"/>
        <v/>
      </c>
      <c r="CH75" s="11" t="s">
        <v>22</v>
      </c>
      <c r="CI75" s="168" t="s">
        <v>22</v>
      </c>
      <c r="CJ75" s="11" t="s">
        <v>22</v>
      </c>
      <c r="CK75" s="11" t="s">
        <v>22</v>
      </c>
      <c r="CL75" s="139" t="str">
        <f t="shared" si="87"/>
        <v/>
      </c>
      <c r="CM75" s="112" t="str">
        <f t="shared" si="73"/>
        <v/>
      </c>
      <c r="CN75" s="139" t="str">
        <f>IFERROR(IF($Z75&gt;$E$12,"",IF($E$5="Uniform Inputs",INDEX($D$45:$E$53,MATCH($CL$3,$B$45:$B$53,0),MATCH(CN$4,$D$44:$E$44,0)),IF(CS75=0,"",CS75))),"")</f>
        <v/>
      </c>
      <c r="CO75" s="139" t="str">
        <f>IFERROR(IF($Z75&gt;$E$12,"",IF($E$5="Uniform Inputs",INDEX($D$45:$E$53,MATCH($CL$3,$B$45:$B$53,0),MATCH(CO$4,$D$44:$E$44,0)),IF(CT75=0,"",CT75))),"")</f>
        <v/>
      </c>
      <c r="CP75" s="10" t="str">
        <f t="shared" si="74"/>
        <v/>
      </c>
      <c r="CQ75" s="11" t="s">
        <v>22</v>
      </c>
      <c r="CR75" s="168" t="s">
        <v>22</v>
      </c>
      <c r="CS75" s="11" t="s">
        <v>22</v>
      </c>
      <c r="CT75" s="11" t="s">
        <v>22</v>
      </c>
      <c r="CU75" s="139" t="str">
        <f t="shared" si="88"/>
        <v/>
      </c>
      <c r="CV75" s="112" t="str">
        <f t="shared" si="75"/>
        <v/>
      </c>
      <c r="CW75" s="139" t="str">
        <f>IFERROR(IF($Z75&gt;$E$12,"",IF($E$5="Uniform Inputs",INDEX($D$45:$E$53,MATCH($CU$3,$B$45:$B$53,0),MATCH(CW$4,$D$44:$E$44,0)),IF(DB75=0,"",DB75))),"")</f>
        <v/>
      </c>
      <c r="CX75" s="139" t="str">
        <f>IFERROR(IF($Z75&gt;$E$12,"",IF($E$5="Uniform Inputs",INDEX($D$45:$E$53,MATCH($CU$3,$B$45:$B$53,0),MATCH(CX$4,$D$44:$E$44,0)),IF(DC75=0,"",DC75))),"")</f>
        <v/>
      </c>
      <c r="CY75" s="10" t="str">
        <f t="shared" si="76"/>
        <v/>
      </c>
      <c r="CZ75" s="11" t="s">
        <v>22</v>
      </c>
      <c r="DA75" s="168" t="s">
        <v>22</v>
      </c>
      <c r="DB75" s="11" t="s">
        <v>22</v>
      </c>
      <c r="DC75" s="11" t="s">
        <v>22</v>
      </c>
    </row>
    <row r="76" spans="2:107" x14ac:dyDescent="0.25">
      <c r="B76" s="3" t="s">
        <v>22</v>
      </c>
      <c r="C76" s="3" t="s">
        <v>22</v>
      </c>
      <c r="D76" s="2" t="s">
        <v>22</v>
      </c>
      <c r="K76" s="6" t="str">
        <f t="shared" si="77"/>
        <v/>
      </c>
      <c r="O76" s="6" t="str">
        <f t="shared" si="78"/>
        <v/>
      </c>
      <c r="P76" s="35" t="str">
        <f t="shared" si="56"/>
        <v/>
      </c>
      <c r="Q76" s="102" t="str">
        <f t="shared" si="57"/>
        <v/>
      </c>
      <c r="R76" s="102" t="str">
        <f t="shared" ca="1" si="58"/>
        <v/>
      </c>
      <c r="S76" s="112" t="str">
        <f t="shared" si="79"/>
        <v/>
      </c>
      <c r="T76" s="112" t="str">
        <f t="shared" ca="1" si="59"/>
        <v/>
      </c>
      <c r="U76" s="1" t="str">
        <f t="shared" si="80"/>
        <v/>
      </c>
      <c r="V76" s="1" t="str">
        <f t="shared" ca="1" si="60"/>
        <v/>
      </c>
      <c r="W76" s="34" t="str">
        <f t="shared" ca="1" si="81"/>
        <v/>
      </c>
      <c r="Y76" s="2">
        <v>71</v>
      </c>
      <c r="Z76" s="6" t="str">
        <f t="shared" si="82"/>
        <v/>
      </c>
      <c r="AA76" s="139" t="str">
        <f>IF($E$5="Uniform Inputs",IF($Z76&gt;$E$12,"",MIN($E$21,($I$5+'Cash Flows'!$BX$8+INDEX('Cash Flows'!$C$19:$BW$19,1,MATCH(EOMONTH(AB76,MOD(-MONTH(AB76),3)-3),'Cash Flows'!$C$4:$BW$4,0)))/$E$12)),IF(AF76&gt;0,AF76,""))</f>
        <v/>
      </c>
      <c r="AB76" s="112" t="str">
        <f t="shared" si="83"/>
        <v/>
      </c>
      <c r="AC76" s="139" t="str">
        <f>IFERROR(IF($Z76&gt;$E$12,"",IF($E$5="Uniform Inputs",INDEX($D$45:$E$53,MATCH($AA$3,$B$45:$B$53,0),MATCH(AC$4,$D$44:$E$44,0)),IF(AH76=0,"",AH76))),"")</f>
        <v/>
      </c>
      <c r="AD76" s="139" t="str">
        <f>IFERROR(IF($Z76&gt;$E$12,"",IF($E$5="Uniform Inputs",INDEX($D$45:$E$53,MATCH($AA$3,$B$45:$B$53,0),MATCH(AD$4,$D$44:$E$44,0)),IF(AI76=0,"",AI76))),"")</f>
        <v/>
      </c>
      <c r="AE76" s="10" t="str">
        <f t="shared" si="84"/>
        <v/>
      </c>
      <c r="AF76" s="11" t="s">
        <v>22</v>
      </c>
      <c r="AG76" s="168" t="s">
        <v>22</v>
      </c>
      <c r="AH76" s="11" t="s">
        <v>22</v>
      </c>
      <c r="AI76" s="11" t="s">
        <v>22</v>
      </c>
      <c r="AJ76" s="139" t="str">
        <f>IF($E$5="Uniform Inputs",IF($Z76&gt;$E$13,"",IF($E$23="Pro-Rata",MIN(AL76*AE76,(($I$5+'Cash Flows'!$BX$8+INDEX('Cash Flows'!$C$19:$BW$19,1,MATCH(EOMONTH(AK76,MOD(-MONTH(AK76),3)-3),'Cash Flows'!$C$4:$BW$4,0)))-$AA$5)/$E$13),MIN($E$24,(($I$5+'Cash Flows'!$BX$8+INDEX('Cash Flows'!$C$19:$BW$19,1,MATCH(EOMONTH(AK76,MOD(-MONTH(AK76),3)-3),'Cash Flows'!$C$4:$BW$4,0)))-$AA$5)/$E$13))),IF(AO76=0,"",AO76))</f>
        <v/>
      </c>
      <c r="AK76" s="112" t="str">
        <f t="shared" si="61"/>
        <v/>
      </c>
      <c r="AL76" s="139" t="str">
        <f>IFERROR(IF($Z76&gt;$E$12,"",IF($E$5="Uniform Inputs",INDEX($D$45:$E$53,MATCH($AJ$3,$B$45:$B$53,0),MATCH(AL$4,$D$44:$E$44,0)),IF(AQ76=0,"",AQ76))),"")</f>
        <v/>
      </c>
      <c r="AM76" s="139" t="str">
        <f>IFERROR(IF($Z76&gt;$E$12,"",IF($E$5="Uniform Inputs",INDEX($D$45:$E$53,MATCH($AJ$3,$B$45:$B$53,0),MATCH(AM$4,$D$44:$E$44,0)),IF(AR76=0,"",AR76))),"")</f>
        <v/>
      </c>
      <c r="AN76" s="10" t="str">
        <f t="shared" si="62"/>
        <v/>
      </c>
      <c r="AO76" s="11" t="s">
        <v>22</v>
      </c>
      <c r="AP76" s="168" t="s">
        <v>22</v>
      </c>
      <c r="AQ76" s="11" t="s">
        <v>22</v>
      </c>
      <c r="AR76" s="11" t="s">
        <v>22</v>
      </c>
      <c r="AS76" s="139" t="str">
        <f>IF($E$5="Uniform Inputs",IF($Z76&gt;$E$14,"",IF($E$23="Pro-Rata",MIN(AU76*AN76,(($I$5+'Cash Flows'!$BX$8+INDEX('Cash Flows'!$C$19:$BW$19,1,MATCH(EOMONTH(AT76,MOD(-MONTH(AT76),3)-3),'Cash Flows'!$C$4:$BW$4,0)))-SUM($AJ$5,$AA$5))/$E$14),MIN($E$25,(($I$5+'Cash Flows'!$BX$8+INDEX('Cash Flows'!$C$19:$BW$19,1,MATCH(EOMONTH(AT76,MOD(-MONTH(AT76),3)-3),'Cash Flows'!$C$4:$BW$4,0)))-SUM($AJ$5,$AA$5))/$E$14))),IF(AX76=0,"",AX76))</f>
        <v/>
      </c>
      <c r="AT76" s="112" t="str">
        <f t="shared" si="63"/>
        <v/>
      </c>
      <c r="AU76" s="139" t="str">
        <f>IFERROR(IF($Z76&gt;$E$12,"",IF($E$5="Uniform Inputs",INDEX($D$45:$E$53,MATCH($AS$3,$B$45:$B$53,0),MATCH(AU$4,$D$44:$E$44,0)),IF(AZ76=0,"",AZ76))),"")</f>
        <v/>
      </c>
      <c r="AV76" s="139" t="str">
        <f>IFERROR(IF($Z76&gt;$E$12,"",IF($E$5="Uniform Inputs",INDEX($D$45:$E$53,MATCH($AS$3,$B$45:$B$53,0),MATCH(AV$4,$D$44:$E$44,0)),IF(BA76=0,"",BA76))),"")</f>
        <v/>
      </c>
      <c r="AW76" s="10" t="str">
        <f t="shared" si="64"/>
        <v/>
      </c>
      <c r="AX76" s="11" t="s">
        <v>22</v>
      </c>
      <c r="AY76" s="168" t="s">
        <v>22</v>
      </c>
      <c r="AZ76" s="11" t="s">
        <v>22</v>
      </c>
      <c r="BA76" s="11" t="s">
        <v>22</v>
      </c>
      <c r="BB76" s="139" t="str">
        <f>IF($E$5="Uniform Inputs",IF($Z76&gt;$E$15,"",IF($E$23="Pro-Rata",MIN(BD76*AW76,(($I$5+'Cash Flows'!$BX$8+INDEX('Cash Flows'!$C$19:$BW$19,1,MATCH(EOMONTH(BC76,MOD(-MONTH(BC76),3)-3),'Cash Flows'!$C$4:$BW$4,0)))-SUM($AS$5,$AJ$5,$AA$5))/$E$15),MIN($E$26,(($I$5+'Cash Flows'!$BX$8+INDEX('Cash Flows'!$C$19:$BW$19,1,MATCH(EOMONTH(BC76,MOD(-MONTH(BC76),3)-3),'Cash Flows'!$C$4:$BW$4,0)))-SUM($AS$5,$AJ$5,$AA$5))/$E$15))),IF(BG76=0,"",BG76))</f>
        <v/>
      </c>
      <c r="BC76" s="112" t="str">
        <f t="shared" si="65"/>
        <v/>
      </c>
      <c r="BD76" s="139" t="str">
        <f>IFERROR(IF($Z76&gt;$E$12,"",IF($E$5="Uniform Inputs",INDEX($D$45:$E$53,MATCH($BB$3,$B$45:$B$53,0),MATCH(BD$4,$D$44:$E$44,0)),IF(BI76=0,"",BI76))),"")</f>
        <v/>
      </c>
      <c r="BE76" s="139" t="str">
        <f>IFERROR(IF($Z76&gt;$E$12,"",IF($E$5="Uniform Inputs",INDEX($D$45:$E$53,MATCH($BB$3,$B$45:$B$53,0),MATCH(BE$4,$D$44:$E$44,0)),IF(BJ76=0,"",BJ76))),"")</f>
        <v/>
      </c>
      <c r="BF76" s="10" t="str">
        <f t="shared" si="66"/>
        <v/>
      </c>
      <c r="BG76" s="11" t="s">
        <v>22</v>
      </c>
      <c r="BH76" s="168" t="s">
        <v>22</v>
      </c>
      <c r="BI76" s="11" t="s">
        <v>22</v>
      </c>
      <c r="BJ76" s="11" t="s">
        <v>22</v>
      </c>
      <c r="BK76" s="139" t="str">
        <f>IF($E$5="Uniform Inputs",IF($Z76&gt;$E$16,"",IF($E$23="Pro-Rata",MIN(BM76*BF76,(($I$5+'Cash Flows'!$BX$8+INDEX('Cash Flows'!$C$19:$BW$19,1,MATCH(EOMONTH(BL76,MOD(-MONTH(BL76),3)-3),'Cash Flows'!$C$4:$BW$4,0)))-SUM($BB$5,$AS$5,$AJ$5,$AA$5))/$E$16),MIN($E$27,(($I$5+'Cash Flows'!$BX$8+INDEX('Cash Flows'!$C$19:$BW$19,1,MATCH(EOMONTH(BL76,MOD(-MONTH(BL76),3)-3),'Cash Flows'!$C$4:$BW$4,0)))-SUM($BB$5,$AS$5,$AJ$5,$AA$5))/$E$16))),IF(BP76=0,"",BP76))</f>
        <v/>
      </c>
      <c r="BL76" s="112" t="str">
        <f t="shared" si="67"/>
        <v/>
      </c>
      <c r="BM76" s="139" t="str">
        <f>IFERROR(IF($Z76&gt;$E$12,"",IF($E$5="Uniform Inputs",INDEX($D$45:$E$53,MATCH($BK$3,$B$45:$B$53,0),MATCH(BM$4,$D$44:$E$44,0)),IF(BR76=0,"",BR76))),"")</f>
        <v/>
      </c>
      <c r="BN76" s="139" t="str">
        <f>IFERROR(IF($Z76&gt;$E$12,"",IF($E$5="Uniform Inputs",INDEX($D$45:$E$53,MATCH($BK$3,$B$45:$B$53,0),MATCH(BN$4,$D$44:$E$44,0)),IF(BS76=0,"",BS76))),"")</f>
        <v/>
      </c>
      <c r="BO76" s="10" t="str">
        <f t="shared" si="68"/>
        <v/>
      </c>
      <c r="BP76" s="11" t="s">
        <v>22</v>
      </c>
      <c r="BQ76" s="168" t="s">
        <v>22</v>
      </c>
      <c r="BR76" s="11" t="s">
        <v>22</v>
      </c>
      <c r="BS76" s="11" t="s">
        <v>22</v>
      </c>
      <c r="BT76" s="139" t="str">
        <f t="shared" si="85"/>
        <v/>
      </c>
      <c r="BU76" s="112" t="str">
        <f t="shared" si="69"/>
        <v/>
      </c>
      <c r="BV76" s="139" t="str">
        <f>IFERROR(IF($Z76&gt;$E$12,"",IF($E$5="Uniform Inputs",INDEX($D$45:$E$53,MATCH($BT$3,$B$45:$B$53,0),MATCH(BV$4,$D$44:$E$44,0)),IF(CA76=0,"",CA76))),"")</f>
        <v/>
      </c>
      <c r="BW76" s="139" t="str">
        <f>IFERROR(IF($Z76&gt;$E$12,"",IF($E$5="Uniform Inputs",INDEX($D$45:$E$53,MATCH($BT$3,$B$45:$B$53,0),MATCH(BW$4,$D$44:$E$44,0)),IF(CB76=0,"",CB76))),"")</f>
        <v/>
      </c>
      <c r="BX76" s="10" t="str">
        <f t="shared" si="70"/>
        <v/>
      </c>
      <c r="BY76" s="11" t="s">
        <v>22</v>
      </c>
      <c r="BZ76" s="168" t="s">
        <v>22</v>
      </c>
      <c r="CA76" s="11" t="s">
        <v>22</v>
      </c>
      <c r="CB76" s="11" t="s">
        <v>22</v>
      </c>
      <c r="CC76" s="139" t="str">
        <f t="shared" si="86"/>
        <v/>
      </c>
      <c r="CD76" s="112" t="str">
        <f t="shared" si="71"/>
        <v/>
      </c>
      <c r="CE76" s="139" t="str">
        <f>IFERROR(IF($Z76&gt;$E$12,"",IF($E$5="Uniform Inputs",INDEX($D$45:$E$53,MATCH($CC$3,$B$45:$B$53,0),MATCH(CE$4,$D$44:$E$44,0)),IF(CJ76=0,"",CJ76))),"")</f>
        <v/>
      </c>
      <c r="CF76" s="139" t="str">
        <f>IFERROR(IF($Z76&gt;$E$12,"",IF($E$5="Uniform Inputs",INDEX($D$45:$E$53,MATCH($CC$3,$B$45:$B$53,0),MATCH(CF$4,$D$44:$E$44,0)),IF(CK76=0,"",CK76))),"")</f>
        <v/>
      </c>
      <c r="CG76" s="10" t="str">
        <f t="shared" si="72"/>
        <v/>
      </c>
      <c r="CH76" s="11" t="s">
        <v>22</v>
      </c>
      <c r="CI76" s="168" t="s">
        <v>22</v>
      </c>
      <c r="CJ76" s="11" t="s">
        <v>22</v>
      </c>
      <c r="CK76" s="11" t="s">
        <v>22</v>
      </c>
      <c r="CL76" s="139" t="str">
        <f t="shared" si="87"/>
        <v/>
      </c>
      <c r="CM76" s="112" t="str">
        <f t="shared" si="73"/>
        <v/>
      </c>
      <c r="CN76" s="139" t="str">
        <f>IFERROR(IF($Z76&gt;$E$12,"",IF($E$5="Uniform Inputs",INDEX($D$45:$E$53,MATCH($CL$3,$B$45:$B$53,0),MATCH(CN$4,$D$44:$E$44,0)),IF(CS76=0,"",CS76))),"")</f>
        <v/>
      </c>
      <c r="CO76" s="139" t="str">
        <f>IFERROR(IF($Z76&gt;$E$12,"",IF($E$5="Uniform Inputs",INDEX($D$45:$E$53,MATCH($CL$3,$B$45:$B$53,0),MATCH(CO$4,$D$44:$E$44,0)),IF(CT76=0,"",CT76))),"")</f>
        <v/>
      </c>
      <c r="CP76" s="10" t="str">
        <f t="shared" si="74"/>
        <v/>
      </c>
      <c r="CQ76" s="11" t="s">
        <v>22</v>
      </c>
      <c r="CR76" s="168" t="s">
        <v>22</v>
      </c>
      <c r="CS76" s="11" t="s">
        <v>22</v>
      </c>
      <c r="CT76" s="11" t="s">
        <v>22</v>
      </c>
      <c r="CU76" s="139" t="str">
        <f t="shared" si="88"/>
        <v/>
      </c>
      <c r="CV76" s="112" t="str">
        <f t="shared" si="75"/>
        <v/>
      </c>
      <c r="CW76" s="139" t="str">
        <f>IFERROR(IF($Z76&gt;$E$12,"",IF($E$5="Uniform Inputs",INDEX($D$45:$E$53,MATCH($CU$3,$B$45:$B$53,0),MATCH(CW$4,$D$44:$E$44,0)),IF(DB76=0,"",DB76))),"")</f>
        <v/>
      </c>
      <c r="CX76" s="139" t="str">
        <f>IFERROR(IF($Z76&gt;$E$12,"",IF($E$5="Uniform Inputs",INDEX($D$45:$E$53,MATCH($CU$3,$B$45:$B$53,0),MATCH(CX$4,$D$44:$E$44,0)),IF(DC76=0,"",DC76))),"")</f>
        <v/>
      </c>
      <c r="CY76" s="10" t="str">
        <f t="shared" si="76"/>
        <v/>
      </c>
      <c r="CZ76" s="11" t="s">
        <v>22</v>
      </c>
      <c r="DA76" s="168" t="s">
        <v>22</v>
      </c>
      <c r="DB76" s="11" t="s">
        <v>22</v>
      </c>
      <c r="DC76" s="11" t="s">
        <v>22</v>
      </c>
    </row>
    <row r="77" spans="2:107" x14ac:dyDescent="0.25">
      <c r="B77" s="3" t="s">
        <v>22</v>
      </c>
      <c r="C77" s="3" t="s">
        <v>22</v>
      </c>
      <c r="D77" s="2" t="s">
        <v>22</v>
      </c>
      <c r="K77" s="6" t="str">
        <f t="shared" si="77"/>
        <v/>
      </c>
      <c r="O77" s="6" t="str">
        <f t="shared" si="78"/>
        <v/>
      </c>
      <c r="P77" s="35" t="str">
        <f t="shared" si="56"/>
        <v/>
      </c>
      <c r="Q77" s="102" t="str">
        <f t="shared" si="57"/>
        <v/>
      </c>
      <c r="R77" s="102" t="str">
        <f t="shared" ca="1" si="58"/>
        <v/>
      </c>
      <c r="S77" s="112" t="str">
        <f t="shared" si="79"/>
        <v/>
      </c>
      <c r="T77" s="112" t="str">
        <f t="shared" ca="1" si="59"/>
        <v/>
      </c>
      <c r="U77" s="1" t="str">
        <f t="shared" si="80"/>
        <v/>
      </c>
      <c r="V77" s="1" t="str">
        <f t="shared" ca="1" si="60"/>
        <v/>
      </c>
      <c r="W77" s="34" t="str">
        <f t="shared" ca="1" si="81"/>
        <v/>
      </c>
      <c r="Y77" s="2">
        <v>72</v>
      </c>
      <c r="Z77" s="6" t="str">
        <f t="shared" si="82"/>
        <v/>
      </c>
      <c r="AA77" s="139" t="str">
        <f>IF($E$5="Uniform Inputs",IF($Z77&gt;$E$12,"",MIN($E$21,($I$5+'Cash Flows'!$BX$8+INDEX('Cash Flows'!$C$19:$BW$19,1,MATCH(EOMONTH(AB77,MOD(-MONTH(AB77),3)-3),'Cash Flows'!$C$4:$BW$4,0)))/$E$12)),IF(AF77&gt;0,AF77,""))</f>
        <v/>
      </c>
      <c r="AB77" s="112" t="str">
        <f t="shared" si="83"/>
        <v/>
      </c>
      <c r="AC77" s="139" t="str">
        <f>IFERROR(IF($Z77&gt;$E$12,"",IF($E$5="Uniform Inputs",INDEX($D$45:$E$53,MATCH($AA$3,$B$45:$B$53,0),MATCH(AC$4,$D$44:$E$44,0)),IF(AH77=0,"",AH77))),"")</f>
        <v/>
      </c>
      <c r="AD77" s="139" t="str">
        <f>IFERROR(IF($Z77&gt;$E$12,"",IF($E$5="Uniform Inputs",INDEX($D$45:$E$53,MATCH($AA$3,$B$45:$B$53,0),MATCH(AD$4,$D$44:$E$44,0)),IF(AI77=0,"",AI77))),"")</f>
        <v/>
      </c>
      <c r="AE77" s="10" t="str">
        <f t="shared" si="84"/>
        <v/>
      </c>
      <c r="AF77" s="11" t="s">
        <v>22</v>
      </c>
      <c r="AG77" s="168" t="s">
        <v>22</v>
      </c>
      <c r="AH77" s="11" t="s">
        <v>22</v>
      </c>
      <c r="AI77" s="11" t="s">
        <v>22</v>
      </c>
      <c r="AJ77" s="139" t="str">
        <f>IF($E$5="Uniform Inputs",IF($Z77&gt;$E$13,"",IF($E$23="Pro-Rata",MIN(AL77*AE77,(($I$5+'Cash Flows'!$BX$8+INDEX('Cash Flows'!$C$19:$BW$19,1,MATCH(EOMONTH(AK77,MOD(-MONTH(AK77),3)-3),'Cash Flows'!$C$4:$BW$4,0)))-$AA$5)/$E$13),MIN($E$24,(($I$5+'Cash Flows'!$BX$8+INDEX('Cash Flows'!$C$19:$BW$19,1,MATCH(EOMONTH(AK77,MOD(-MONTH(AK77),3)-3),'Cash Flows'!$C$4:$BW$4,0)))-$AA$5)/$E$13))),IF(AO77=0,"",AO77))</f>
        <v/>
      </c>
      <c r="AK77" s="112" t="str">
        <f t="shared" si="61"/>
        <v/>
      </c>
      <c r="AL77" s="139" t="str">
        <f>IFERROR(IF($Z77&gt;$E$12,"",IF($E$5="Uniform Inputs",INDEX($D$45:$E$53,MATCH($AJ$3,$B$45:$B$53,0),MATCH(AL$4,$D$44:$E$44,0)),IF(AQ77=0,"",AQ77))),"")</f>
        <v/>
      </c>
      <c r="AM77" s="139" t="str">
        <f>IFERROR(IF($Z77&gt;$E$12,"",IF($E$5="Uniform Inputs",INDEX($D$45:$E$53,MATCH($AJ$3,$B$45:$B$53,0),MATCH(AM$4,$D$44:$E$44,0)),IF(AR77=0,"",AR77))),"")</f>
        <v/>
      </c>
      <c r="AN77" s="10" t="str">
        <f t="shared" si="62"/>
        <v/>
      </c>
      <c r="AO77" s="11" t="s">
        <v>22</v>
      </c>
      <c r="AP77" s="168" t="s">
        <v>22</v>
      </c>
      <c r="AQ77" s="11" t="s">
        <v>22</v>
      </c>
      <c r="AR77" s="11" t="s">
        <v>22</v>
      </c>
      <c r="AS77" s="139" t="str">
        <f>IF($E$5="Uniform Inputs",IF($Z77&gt;$E$14,"",IF($E$23="Pro-Rata",MIN(AU77*AN77,(($I$5+'Cash Flows'!$BX$8+INDEX('Cash Flows'!$C$19:$BW$19,1,MATCH(EOMONTH(AT77,MOD(-MONTH(AT77),3)-3),'Cash Flows'!$C$4:$BW$4,0)))-SUM($AJ$5,$AA$5))/$E$14),MIN($E$25,(($I$5+'Cash Flows'!$BX$8+INDEX('Cash Flows'!$C$19:$BW$19,1,MATCH(EOMONTH(AT77,MOD(-MONTH(AT77),3)-3),'Cash Flows'!$C$4:$BW$4,0)))-SUM($AJ$5,$AA$5))/$E$14))),IF(AX77=0,"",AX77))</f>
        <v/>
      </c>
      <c r="AT77" s="112" t="str">
        <f t="shared" si="63"/>
        <v/>
      </c>
      <c r="AU77" s="139" t="str">
        <f>IFERROR(IF($Z77&gt;$E$12,"",IF($E$5="Uniform Inputs",INDEX($D$45:$E$53,MATCH($AS$3,$B$45:$B$53,0),MATCH(AU$4,$D$44:$E$44,0)),IF(AZ77=0,"",AZ77))),"")</f>
        <v/>
      </c>
      <c r="AV77" s="139" t="str">
        <f>IFERROR(IF($Z77&gt;$E$12,"",IF($E$5="Uniform Inputs",INDEX($D$45:$E$53,MATCH($AS$3,$B$45:$B$53,0),MATCH(AV$4,$D$44:$E$44,0)),IF(BA77=0,"",BA77))),"")</f>
        <v/>
      </c>
      <c r="AW77" s="10" t="str">
        <f t="shared" si="64"/>
        <v/>
      </c>
      <c r="AX77" s="11" t="s">
        <v>22</v>
      </c>
      <c r="AY77" s="168" t="s">
        <v>22</v>
      </c>
      <c r="AZ77" s="11" t="s">
        <v>22</v>
      </c>
      <c r="BA77" s="11" t="s">
        <v>22</v>
      </c>
      <c r="BB77" s="139" t="str">
        <f>IF($E$5="Uniform Inputs",IF($Z77&gt;$E$15,"",IF($E$23="Pro-Rata",MIN(BD77*AW77,(($I$5+'Cash Flows'!$BX$8+INDEX('Cash Flows'!$C$19:$BW$19,1,MATCH(EOMONTH(BC77,MOD(-MONTH(BC77),3)-3),'Cash Flows'!$C$4:$BW$4,0)))-SUM($AS$5,$AJ$5,$AA$5))/$E$15),MIN($E$26,(($I$5+'Cash Flows'!$BX$8+INDEX('Cash Flows'!$C$19:$BW$19,1,MATCH(EOMONTH(BC77,MOD(-MONTH(BC77),3)-3),'Cash Flows'!$C$4:$BW$4,0)))-SUM($AS$5,$AJ$5,$AA$5))/$E$15))),IF(BG77=0,"",BG77))</f>
        <v/>
      </c>
      <c r="BC77" s="112" t="str">
        <f t="shared" si="65"/>
        <v/>
      </c>
      <c r="BD77" s="139" t="str">
        <f>IFERROR(IF($Z77&gt;$E$12,"",IF($E$5="Uniform Inputs",INDEX($D$45:$E$53,MATCH($BB$3,$B$45:$B$53,0),MATCH(BD$4,$D$44:$E$44,0)),IF(BI77=0,"",BI77))),"")</f>
        <v/>
      </c>
      <c r="BE77" s="139" t="str">
        <f>IFERROR(IF($Z77&gt;$E$12,"",IF($E$5="Uniform Inputs",INDEX($D$45:$E$53,MATCH($BB$3,$B$45:$B$53,0),MATCH(BE$4,$D$44:$E$44,0)),IF(BJ77=0,"",BJ77))),"")</f>
        <v/>
      </c>
      <c r="BF77" s="10" t="str">
        <f t="shared" si="66"/>
        <v/>
      </c>
      <c r="BG77" s="11" t="s">
        <v>22</v>
      </c>
      <c r="BH77" s="168" t="s">
        <v>22</v>
      </c>
      <c r="BI77" s="11" t="s">
        <v>22</v>
      </c>
      <c r="BJ77" s="11" t="s">
        <v>22</v>
      </c>
      <c r="BK77" s="139" t="str">
        <f>IF($E$5="Uniform Inputs",IF($Z77&gt;$E$16,"",IF($E$23="Pro-Rata",MIN(BM77*BF77,(($I$5+'Cash Flows'!$BX$8+INDEX('Cash Flows'!$C$19:$BW$19,1,MATCH(EOMONTH(BL77,MOD(-MONTH(BL77),3)-3),'Cash Flows'!$C$4:$BW$4,0)))-SUM($BB$5,$AS$5,$AJ$5,$AA$5))/$E$16),MIN($E$27,(($I$5+'Cash Flows'!$BX$8+INDEX('Cash Flows'!$C$19:$BW$19,1,MATCH(EOMONTH(BL77,MOD(-MONTH(BL77),3)-3),'Cash Flows'!$C$4:$BW$4,0)))-SUM($BB$5,$AS$5,$AJ$5,$AA$5))/$E$16))),IF(BP77=0,"",BP77))</f>
        <v/>
      </c>
      <c r="BL77" s="112" t="str">
        <f t="shared" si="67"/>
        <v/>
      </c>
      <c r="BM77" s="139" t="str">
        <f>IFERROR(IF($Z77&gt;$E$12,"",IF($E$5="Uniform Inputs",INDEX($D$45:$E$53,MATCH($BK$3,$B$45:$B$53,0),MATCH(BM$4,$D$44:$E$44,0)),IF(BR77=0,"",BR77))),"")</f>
        <v/>
      </c>
      <c r="BN77" s="139" t="str">
        <f>IFERROR(IF($Z77&gt;$E$12,"",IF($E$5="Uniform Inputs",INDEX($D$45:$E$53,MATCH($BK$3,$B$45:$B$53,0),MATCH(BN$4,$D$44:$E$44,0)),IF(BS77=0,"",BS77))),"")</f>
        <v/>
      </c>
      <c r="BO77" s="10" t="str">
        <f t="shared" si="68"/>
        <v/>
      </c>
      <c r="BP77" s="11" t="s">
        <v>22</v>
      </c>
      <c r="BQ77" s="168" t="s">
        <v>22</v>
      </c>
      <c r="BR77" s="11" t="s">
        <v>22</v>
      </c>
      <c r="BS77" s="11" t="s">
        <v>22</v>
      </c>
      <c r="BT77" s="139" t="str">
        <f t="shared" si="85"/>
        <v/>
      </c>
      <c r="BU77" s="112" t="str">
        <f t="shared" si="69"/>
        <v/>
      </c>
      <c r="BV77" s="139" t="str">
        <f>IFERROR(IF($Z77&gt;$E$12,"",IF($E$5="Uniform Inputs",INDEX($D$45:$E$53,MATCH($BT$3,$B$45:$B$53,0),MATCH(BV$4,$D$44:$E$44,0)),IF(CA77=0,"",CA77))),"")</f>
        <v/>
      </c>
      <c r="BW77" s="139" t="str">
        <f>IFERROR(IF($Z77&gt;$E$12,"",IF($E$5="Uniform Inputs",INDEX($D$45:$E$53,MATCH($BT$3,$B$45:$B$53,0),MATCH(BW$4,$D$44:$E$44,0)),IF(CB77=0,"",CB77))),"")</f>
        <v/>
      </c>
      <c r="BX77" s="10" t="str">
        <f t="shared" si="70"/>
        <v/>
      </c>
      <c r="BY77" s="11" t="s">
        <v>22</v>
      </c>
      <c r="BZ77" s="168" t="s">
        <v>22</v>
      </c>
      <c r="CA77" s="11" t="s">
        <v>22</v>
      </c>
      <c r="CB77" s="11" t="s">
        <v>22</v>
      </c>
      <c r="CC77" s="139" t="str">
        <f t="shared" si="86"/>
        <v/>
      </c>
      <c r="CD77" s="112" t="str">
        <f t="shared" si="71"/>
        <v/>
      </c>
      <c r="CE77" s="139" t="str">
        <f>IFERROR(IF($Z77&gt;$E$12,"",IF($E$5="Uniform Inputs",INDEX($D$45:$E$53,MATCH($CC$3,$B$45:$B$53,0),MATCH(CE$4,$D$44:$E$44,0)),IF(CJ77=0,"",CJ77))),"")</f>
        <v/>
      </c>
      <c r="CF77" s="139" t="str">
        <f>IFERROR(IF($Z77&gt;$E$12,"",IF($E$5="Uniform Inputs",INDEX($D$45:$E$53,MATCH($CC$3,$B$45:$B$53,0),MATCH(CF$4,$D$44:$E$44,0)),IF(CK77=0,"",CK77))),"")</f>
        <v/>
      </c>
      <c r="CG77" s="10" t="str">
        <f t="shared" si="72"/>
        <v/>
      </c>
      <c r="CH77" s="11" t="s">
        <v>22</v>
      </c>
      <c r="CI77" s="168" t="s">
        <v>22</v>
      </c>
      <c r="CJ77" s="11" t="s">
        <v>22</v>
      </c>
      <c r="CK77" s="11" t="s">
        <v>22</v>
      </c>
      <c r="CL77" s="139" t="str">
        <f t="shared" si="87"/>
        <v/>
      </c>
      <c r="CM77" s="112" t="str">
        <f t="shared" si="73"/>
        <v/>
      </c>
      <c r="CN77" s="139" t="str">
        <f>IFERROR(IF($Z77&gt;$E$12,"",IF($E$5="Uniform Inputs",INDEX($D$45:$E$53,MATCH($CL$3,$B$45:$B$53,0),MATCH(CN$4,$D$44:$E$44,0)),IF(CS77=0,"",CS77))),"")</f>
        <v/>
      </c>
      <c r="CO77" s="139" t="str">
        <f>IFERROR(IF($Z77&gt;$E$12,"",IF($E$5="Uniform Inputs",INDEX($D$45:$E$53,MATCH($CL$3,$B$45:$B$53,0),MATCH(CO$4,$D$44:$E$44,0)),IF(CT77=0,"",CT77))),"")</f>
        <v/>
      </c>
      <c r="CP77" s="10" t="str">
        <f t="shared" si="74"/>
        <v/>
      </c>
      <c r="CQ77" s="11" t="s">
        <v>22</v>
      </c>
      <c r="CR77" s="168" t="s">
        <v>22</v>
      </c>
      <c r="CS77" s="11" t="s">
        <v>22</v>
      </c>
      <c r="CT77" s="11" t="s">
        <v>22</v>
      </c>
      <c r="CU77" s="139" t="str">
        <f t="shared" si="88"/>
        <v/>
      </c>
      <c r="CV77" s="112" t="str">
        <f t="shared" si="75"/>
        <v/>
      </c>
      <c r="CW77" s="139" t="str">
        <f>IFERROR(IF($Z77&gt;$E$12,"",IF($E$5="Uniform Inputs",INDEX($D$45:$E$53,MATCH($CU$3,$B$45:$B$53,0),MATCH(CW$4,$D$44:$E$44,0)),IF(DB77=0,"",DB77))),"")</f>
        <v/>
      </c>
      <c r="CX77" s="139" t="str">
        <f>IFERROR(IF($Z77&gt;$E$12,"",IF($E$5="Uniform Inputs",INDEX($D$45:$E$53,MATCH($CU$3,$B$45:$B$53,0),MATCH(CX$4,$D$44:$E$44,0)),IF(DC77=0,"",DC77))),"")</f>
        <v/>
      </c>
      <c r="CY77" s="10" t="str">
        <f t="shared" si="76"/>
        <v/>
      </c>
      <c r="CZ77" s="11" t="s">
        <v>22</v>
      </c>
      <c r="DA77" s="168" t="s">
        <v>22</v>
      </c>
      <c r="DB77" s="11" t="s">
        <v>22</v>
      </c>
      <c r="DC77" s="11" t="s">
        <v>22</v>
      </c>
    </row>
    <row r="78" spans="2:107" x14ac:dyDescent="0.25">
      <c r="B78" s="3" t="s">
        <v>22</v>
      </c>
      <c r="C78" s="3" t="s">
        <v>22</v>
      </c>
      <c r="D78" s="2" t="s">
        <v>22</v>
      </c>
      <c r="K78" s="6" t="str">
        <f t="shared" si="77"/>
        <v/>
      </c>
      <c r="O78" s="6" t="str">
        <f t="shared" si="78"/>
        <v/>
      </c>
      <c r="P78" s="35" t="str">
        <f t="shared" si="56"/>
        <v/>
      </c>
      <c r="Q78" s="102" t="str">
        <f t="shared" si="57"/>
        <v/>
      </c>
      <c r="R78" s="102" t="str">
        <f t="shared" ca="1" si="58"/>
        <v/>
      </c>
      <c r="S78" s="112" t="str">
        <f t="shared" si="79"/>
        <v/>
      </c>
      <c r="T78" s="112" t="str">
        <f t="shared" ca="1" si="59"/>
        <v/>
      </c>
      <c r="U78" s="1" t="str">
        <f t="shared" si="80"/>
        <v/>
      </c>
      <c r="V78" s="1" t="str">
        <f t="shared" ca="1" si="60"/>
        <v/>
      </c>
      <c r="W78" s="34" t="str">
        <f t="shared" ca="1" si="81"/>
        <v/>
      </c>
      <c r="Y78" s="2">
        <v>73</v>
      </c>
      <c r="Z78" s="6" t="str">
        <f t="shared" si="82"/>
        <v/>
      </c>
      <c r="AA78" s="139" t="str">
        <f>IF($E$5="Uniform Inputs",IF($Z78&gt;$E$12,"",MIN($E$21,($I$5+'Cash Flows'!$BX$8+INDEX('Cash Flows'!$C$19:$BW$19,1,MATCH(EOMONTH(AB78,MOD(-MONTH(AB78),3)-3),'Cash Flows'!$C$4:$BW$4,0)))/$E$12)),IF(AF78&gt;0,AF78,""))</f>
        <v/>
      </c>
      <c r="AB78" s="112" t="str">
        <f t="shared" si="83"/>
        <v/>
      </c>
      <c r="AC78" s="139" t="str">
        <f>IFERROR(IF($Z78&gt;$E$12,"",IF($E$5="Uniform Inputs",INDEX($D$45:$E$53,MATCH($AA$3,$B$45:$B$53,0),MATCH(AC$4,$D$44:$E$44,0)),IF(AH78=0,"",AH78))),"")</f>
        <v/>
      </c>
      <c r="AD78" s="139" t="str">
        <f>IFERROR(IF($Z78&gt;$E$12,"",IF($E$5="Uniform Inputs",INDEX($D$45:$E$53,MATCH($AA$3,$B$45:$B$53,0),MATCH(AD$4,$D$44:$E$44,0)),IF(AI78=0,"",AI78))),"")</f>
        <v/>
      </c>
      <c r="AE78" s="10" t="str">
        <f t="shared" si="84"/>
        <v/>
      </c>
      <c r="AF78" s="11" t="s">
        <v>22</v>
      </c>
      <c r="AG78" s="168" t="s">
        <v>22</v>
      </c>
      <c r="AH78" s="11" t="s">
        <v>22</v>
      </c>
      <c r="AI78" s="11" t="s">
        <v>22</v>
      </c>
      <c r="AJ78" s="139" t="str">
        <f>IF($E$5="Uniform Inputs",IF($Z78&gt;$E$13,"",IF($E$23="Pro-Rata",MIN(AL78*AE78,(($I$5+'Cash Flows'!$BX$8+INDEX('Cash Flows'!$C$19:$BW$19,1,MATCH(EOMONTH(AK78,MOD(-MONTH(AK78),3)-3),'Cash Flows'!$C$4:$BW$4,0)))-$AA$5)/$E$13),MIN($E$24,(($I$5+'Cash Flows'!$BX$8+INDEX('Cash Flows'!$C$19:$BW$19,1,MATCH(EOMONTH(AK78,MOD(-MONTH(AK78),3)-3),'Cash Flows'!$C$4:$BW$4,0)))-$AA$5)/$E$13))),IF(AO78=0,"",AO78))</f>
        <v/>
      </c>
      <c r="AK78" s="112" t="str">
        <f t="shared" si="61"/>
        <v/>
      </c>
      <c r="AL78" s="139" t="str">
        <f>IFERROR(IF($Z78&gt;$E$12,"",IF($E$5="Uniform Inputs",INDEX($D$45:$E$53,MATCH($AJ$3,$B$45:$B$53,0),MATCH(AL$4,$D$44:$E$44,0)),IF(AQ78=0,"",AQ78))),"")</f>
        <v/>
      </c>
      <c r="AM78" s="139" t="str">
        <f>IFERROR(IF($Z78&gt;$E$12,"",IF($E$5="Uniform Inputs",INDEX($D$45:$E$53,MATCH($AJ$3,$B$45:$B$53,0),MATCH(AM$4,$D$44:$E$44,0)),IF(AR78=0,"",AR78))),"")</f>
        <v/>
      </c>
      <c r="AN78" s="10" t="str">
        <f t="shared" si="62"/>
        <v/>
      </c>
      <c r="AO78" s="11" t="s">
        <v>22</v>
      </c>
      <c r="AP78" s="168" t="s">
        <v>22</v>
      </c>
      <c r="AQ78" s="11" t="s">
        <v>22</v>
      </c>
      <c r="AR78" s="11" t="s">
        <v>22</v>
      </c>
      <c r="AS78" s="139" t="str">
        <f>IF($E$5="Uniform Inputs",IF($Z78&gt;$E$14,"",IF($E$23="Pro-Rata",MIN(AU78*AN78,(($I$5+'Cash Flows'!$BX$8+INDEX('Cash Flows'!$C$19:$BW$19,1,MATCH(EOMONTH(AT78,MOD(-MONTH(AT78),3)-3),'Cash Flows'!$C$4:$BW$4,0)))-SUM($AJ$5,$AA$5))/$E$14),MIN($E$25,(($I$5+'Cash Flows'!$BX$8+INDEX('Cash Flows'!$C$19:$BW$19,1,MATCH(EOMONTH(AT78,MOD(-MONTH(AT78),3)-3),'Cash Flows'!$C$4:$BW$4,0)))-SUM($AJ$5,$AA$5))/$E$14))),IF(AX78=0,"",AX78))</f>
        <v/>
      </c>
      <c r="AT78" s="112" t="str">
        <f t="shared" si="63"/>
        <v/>
      </c>
      <c r="AU78" s="139" t="str">
        <f>IFERROR(IF($Z78&gt;$E$12,"",IF($E$5="Uniform Inputs",INDEX($D$45:$E$53,MATCH($AS$3,$B$45:$B$53,0),MATCH(AU$4,$D$44:$E$44,0)),IF(AZ78=0,"",AZ78))),"")</f>
        <v/>
      </c>
      <c r="AV78" s="139" t="str">
        <f>IFERROR(IF($Z78&gt;$E$12,"",IF($E$5="Uniform Inputs",INDEX($D$45:$E$53,MATCH($AS$3,$B$45:$B$53,0),MATCH(AV$4,$D$44:$E$44,0)),IF(BA78=0,"",BA78))),"")</f>
        <v/>
      </c>
      <c r="AW78" s="10" t="str">
        <f t="shared" si="64"/>
        <v/>
      </c>
      <c r="AX78" s="11" t="s">
        <v>22</v>
      </c>
      <c r="AY78" s="168" t="s">
        <v>22</v>
      </c>
      <c r="AZ78" s="11" t="s">
        <v>22</v>
      </c>
      <c r="BA78" s="11" t="s">
        <v>22</v>
      </c>
      <c r="BB78" s="139" t="str">
        <f>IF($E$5="Uniform Inputs",IF($Z78&gt;$E$15,"",IF($E$23="Pro-Rata",MIN(BD78*AW78,(($I$5+'Cash Flows'!$BX$8+INDEX('Cash Flows'!$C$19:$BW$19,1,MATCH(EOMONTH(BC78,MOD(-MONTH(BC78),3)-3),'Cash Flows'!$C$4:$BW$4,0)))-SUM($AS$5,$AJ$5,$AA$5))/$E$15),MIN($E$26,(($I$5+'Cash Flows'!$BX$8+INDEX('Cash Flows'!$C$19:$BW$19,1,MATCH(EOMONTH(BC78,MOD(-MONTH(BC78),3)-3),'Cash Flows'!$C$4:$BW$4,0)))-SUM($AS$5,$AJ$5,$AA$5))/$E$15))),IF(BG78=0,"",BG78))</f>
        <v/>
      </c>
      <c r="BC78" s="112" t="str">
        <f t="shared" si="65"/>
        <v/>
      </c>
      <c r="BD78" s="139" t="str">
        <f>IFERROR(IF($Z78&gt;$E$12,"",IF($E$5="Uniform Inputs",INDEX($D$45:$E$53,MATCH($BB$3,$B$45:$B$53,0),MATCH(BD$4,$D$44:$E$44,0)),IF(BI78=0,"",BI78))),"")</f>
        <v/>
      </c>
      <c r="BE78" s="139" t="str">
        <f>IFERROR(IF($Z78&gt;$E$12,"",IF($E$5="Uniform Inputs",INDEX($D$45:$E$53,MATCH($BB$3,$B$45:$B$53,0),MATCH(BE$4,$D$44:$E$44,0)),IF(BJ78=0,"",BJ78))),"")</f>
        <v/>
      </c>
      <c r="BF78" s="10" t="str">
        <f t="shared" si="66"/>
        <v/>
      </c>
      <c r="BG78" s="11" t="s">
        <v>22</v>
      </c>
      <c r="BH78" s="168" t="s">
        <v>22</v>
      </c>
      <c r="BI78" s="11" t="s">
        <v>22</v>
      </c>
      <c r="BJ78" s="11" t="s">
        <v>22</v>
      </c>
      <c r="BK78" s="139" t="str">
        <f>IF($E$5="Uniform Inputs",IF($Z78&gt;$E$16,"",IF($E$23="Pro-Rata",MIN(BM78*BF78,(($I$5+'Cash Flows'!$BX$8+INDEX('Cash Flows'!$C$19:$BW$19,1,MATCH(EOMONTH(BL78,MOD(-MONTH(BL78),3)-3),'Cash Flows'!$C$4:$BW$4,0)))-SUM($BB$5,$AS$5,$AJ$5,$AA$5))/$E$16),MIN($E$27,(($I$5+'Cash Flows'!$BX$8+INDEX('Cash Flows'!$C$19:$BW$19,1,MATCH(EOMONTH(BL78,MOD(-MONTH(BL78),3)-3),'Cash Flows'!$C$4:$BW$4,0)))-SUM($BB$5,$AS$5,$AJ$5,$AA$5))/$E$16))),IF(BP78=0,"",BP78))</f>
        <v/>
      </c>
      <c r="BL78" s="112" t="str">
        <f t="shared" si="67"/>
        <v/>
      </c>
      <c r="BM78" s="139" t="str">
        <f>IFERROR(IF($Z78&gt;$E$12,"",IF($E$5="Uniform Inputs",INDEX($D$45:$E$53,MATCH($BK$3,$B$45:$B$53,0),MATCH(BM$4,$D$44:$E$44,0)),IF(BR78=0,"",BR78))),"")</f>
        <v/>
      </c>
      <c r="BN78" s="139" t="str">
        <f>IFERROR(IF($Z78&gt;$E$12,"",IF($E$5="Uniform Inputs",INDEX($D$45:$E$53,MATCH($BK$3,$B$45:$B$53,0),MATCH(BN$4,$D$44:$E$44,0)),IF(BS78=0,"",BS78))),"")</f>
        <v/>
      </c>
      <c r="BO78" s="10" t="str">
        <f t="shared" si="68"/>
        <v/>
      </c>
      <c r="BP78" s="11" t="s">
        <v>22</v>
      </c>
      <c r="BQ78" s="168" t="s">
        <v>22</v>
      </c>
      <c r="BR78" s="11" t="s">
        <v>22</v>
      </c>
      <c r="BS78" s="11" t="s">
        <v>22</v>
      </c>
      <c r="BT78" s="139" t="str">
        <f t="shared" si="85"/>
        <v/>
      </c>
      <c r="BU78" s="112" t="str">
        <f t="shared" si="69"/>
        <v/>
      </c>
      <c r="BV78" s="139" t="str">
        <f>IFERROR(IF($Z78&gt;$E$12,"",IF($E$5="Uniform Inputs",INDEX($D$45:$E$53,MATCH($BT$3,$B$45:$B$53,0),MATCH(BV$4,$D$44:$E$44,0)),IF(CA78=0,"",CA78))),"")</f>
        <v/>
      </c>
      <c r="BW78" s="139" t="str">
        <f>IFERROR(IF($Z78&gt;$E$12,"",IF($E$5="Uniform Inputs",INDEX($D$45:$E$53,MATCH($BT$3,$B$45:$B$53,0),MATCH(BW$4,$D$44:$E$44,0)),IF(CB78=0,"",CB78))),"")</f>
        <v/>
      </c>
      <c r="BX78" s="10" t="str">
        <f t="shared" si="70"/>
        <v/>
      </c>
      <c r="BY78" s="11" t="s">
        <v>22</v>
      </c>
      <c r="BZ78" s="168" t="s">
        <v>22</v>
      </c>
      <c r="CA78" s="11" t="s">
        <v>22</v>
      </c>
      <c r="CB78" s="11" t="s">
        <v>22</v>
      </c>
      <c r="CC78" s="139" t="str">
        <f t="shared" si="86"/>
        <v/>
      </c>
      <c r="CD78" s="112" t="str">
        <f t="shared" si="71"/>
        <v/>
      </c>
      <c r="CE78" s="139" t="str">
        <f>IFERROR(IF($Z78&gt;$E$12,"",IF($E$5="Uniform Inputs",INDEX($D$45:$E$53,MATCH($CC$3,$B$45:$B$53,0),MATCH(CE$4,$D$44:$E$44,0)),IF(CJ78=0,"",CJ78))),"")</f>
        <v/>
      </c>
      <c r="CF78" s="139" t="str">
        <f>IFERROR(IF($Z78&gt;$E$12,"",IF($E$5="Uniform Inputs",INDEX($D$45:$E$53,MATCH($CC$3,$B$45:$B$53,0),MATCH(CF$4,$D$44:$E$44,0)),IF(CK78=0,"",CK78))),"")</f>
        <v/>
      </c>
      <c r="CG78" s="10" t="str">
        <f t="shared" si="72"/>
        <v/>
      </c>
      <c r="CH78" s="11" t="s">
        <v>22</v>
      </c>
      <c r="CI78" s="168" t="s">
        <v>22</v>
      </c>
      <c r="CJ78" s="11" t="s">
        <v>22</v>
      </c>
      <c r="CK78" s="11" t="s">
        <v>22</v>
      </c>
      <c r="CL78" s="139" t="str">
        <f t="shared" si="87"/>
        <v/>
      </c>
      <c r="CM78" s="112" t="str">
        <f t="shared" si="73"/>
        <v/>
      </c>
      <c r="CN78" s="139" t="str">
        <f>IFERROR(IF($Z78&gt;$E$12,"",IF($E$5="Uniform Inputs",INDEX($D$45:$E$53,MATCH($CL$3,$B$45:$B$53,0),MATCH(CN$4,$D$44:$E$44,0)),IF(CS78=0,"",CS78))),"")</f>
        <v/>
      </c>
      <c r="CO78" s="139" t="str">
        <f>IFERROR(IF($Z78&gt;$E$12,"",IF($E$5="Uniform Inputs",INDEX($D$45:$E$53,MATCH($CL$3,$B$45:$B$53,0),MATCH(CO$4,$D$44:$E$44,0)),IF(CT78=0,"",CT78))),"")</f>
        <v/>
      </c>
      <c r="CP78" s="10" t="str">
        <f t="shared" si="74"/>
        <v/>
      </c>
      <c r="CQ78" s="11" t="s">
        <v>22</v>
      </c>
      <c r="CR78" s="168" t="s">
        <v>22</v>
      </c>
      <c r="CS78" s="11" t="s">
        <v>22</v>
      </c>
      <c r="CT78" s="11" t="s">
        <v>22</v>
      </c>
      <c r="CU78" s="139" t="str">
        <f t="shared" si="88"/>
        <v/>
      </c>
      <c r="CV78" s="112" t="str">
        <f t="shared" si="75"/>
        <v/>
      </c>
      <c r="CW78" s="139" t="str">
        <f>IFERROR(IF($Z78&gt;$E$12,"",IF($E$5="Uniform Inputs",INDEX($D$45:$E$53,MATCH($CU$3,$B$45:$B$53,0),MATCH(CW$4,$D$44:$E$44,0)),IF(DB78=0,"",DB78))),"")</f>
        <v/>
      </c>
      <c r="CX78" s="139" t="str">
        <f>IFERROR(IF($Z78&gt;$E$12,"",IF($E$5="Uniform Inputs",INDEX($D$45:$E$53,MATCH($CU$3,$B$45:$B$53,0),MATCH(CX$4,$D$44:$E$44,0)),IF(DC78=0,"",DC78))),"")</f>
        <v/>
      </c>
      <c r="CY78" s="10" t="str">
        <f t="shared" si="76"/>
        <v/>
      </c>
      <c r="CZ78" s="11" t="s">
        <v>22</v>
      </c>
      <c r="DA78" s="168" t="s">
        <v>22</v>
      </c>
      <c r="DB78" s="11" t="s">
        <v>22</v>
      </c>
      <c r="DC78" s="11" t="s">
        <v>22</v>
      </c>
    </row>
    <row r="79" spans="2:107" x14ac:dyDescent="0.25">
      <c r="B79" s="3" t="s">
        <v>22</v>
      </c>
      <c r="C79" s="3" t="s">
        <v>22</v>
      </c>
      <c r="D79" s="2" t="s">
        <v>22</v>
      </c>
      <c r="K79" s="6" t="str">
        <f t="shared" si="77"/>
        <v/>
      </c>
      <c r="O79" s="6" t="str">
        <f t="shared" si="78"/>
        <v/>
      </c>
      <c r="P79" s="35" t="str">
        <f t="shared" si="56"/>
        <v/>
      </c>
      <c r="Q79" s="102" t="str">
        <f t="shared" si="57"/>
        <v/>
      </c>
      <c r="R79" s="102" t="str">
        <f t="shared" ca="1" si="58"/>
        <v/>
      </c>
      <c r="S79" s="112" t="str">
        <f t="shared" si="79"/>
        <v/>
      </c>
      <c r="T79" s="112" t="str">
        <f t="shared" ca="1" si="59"/>
        <v/>
      </c>
      <c r="U79" s="1" t="str">
        <f t="shared" si="80"/>
        <v/>
      </c>
      <c r="V79" s="1" t="str">
        <f t="shared" ca="1" si="60"/>
        <v/>
      </c>
      <c r="W79" s="34" t="str">
        <f t="shared" ca="1" si="81"/>
        <v/>
      </c>
      <c r="Y79" s="2">
        <v>74</v>
      </c>
      <c r="Z79" s="6" t="str">
        <f t="shared" si="82"/>
        <v/>
      </c>
      <c r="AA79" s="139" t="str">
        <f>IF($E$5="Uniform Inputs",IF($Z79&gt;$E$12,"",MIN($E$21,($I$5+'Cash Flows'!$BX$8+INDEX('Cash Flows'!$C$19:$BW$19,1,MATCH(EOMONTH(AB79,MOD(-MONTH(AB79),3)-3),'Cash Flows'!$C$4:$BW$4,0)))/$E$12)),IF(AF79&gt;0,AF79,""))</f>
        <v/>
      </c>
      <c r="AB79" s="112" t="str">
        <f t="shared" si="83"/>
        <v/>
      </c>
      <c r="AC79" s="139" t="str">
        <f>IFERROR(IF($Z79&gt;$E$12,"",IF($E$5="Uniform Inputs",INDEX($D$45:$E$53,MATCH($AA$3,$B$45:$B$53,0),MATCH(AC$4,$D$44:$E$44,0)),IF(AH79=0,"",AH79))),"")</f>
        <v/>
      </c>
      <c r="AD79" s="139" t="str">
        <f>IFERROR(IF($Z79&gt;$E$12,"",IF($E$5="Uniform Inputs",INDEX($D$45:$E$53,MATCH($AA$3,$B$45:$B$53,0),MATCH(AD$4,$D$44:$E$44,0)),IF(AI79=0,"",AI79))),"")</f>
        <v/>
      </c>
      <c r="AE79" s="10" t="str">
        <f t="shared" si="84"/>
        <v/>
      </c>
      <c r="AF79" s="11" t="s">
        <v>22</v>
      </c>
      <c r="AG79" s="168" t="s">
        <v>22</v>
      </c>
      <c r="AH79" s="11" t="s">
        <v>22</v>
      </c>
      <c r="AI79" s="11" t="s">
        <v>22</v>
      </c>
      <c r="AJ79" s="139" t="str">
        <f>IF($E$5="Uniform Inputs",IF($Z79&gt;$E$13,"",IF($E$23="Pro-Rata",MIN(AL79*AE79,(($I$5+'Cash Flows'!$BX$8+INDEX('Cash Flows'!$C$19:$BW$19,1,MATCH(EOMONTH(AK79,MOD(-MONTH(AK79),3)-3),'Cash Flows'!$C$4:$BW$4,0)))-$AA$5)/$E$13),MIN($E$24,(($I$5+'Cash Flows'!$BX$8+INDEX('Cash Flows'!$C$19:$BW$19,1,MATCH(EOMONTH(AK79,MOD(-MONTH(AK79),3)-3),'Cash Flows'!$C$4:$BW$4,0)))-$AA$5)/$E$13))),IF(AO79=0,"",AO79))</f>
        <v/>
      </c>
      <c r="AK79" s="112" t="str">
        <f t="shared" si="61"/>
        <v/>
      </c>
      <c r="AL79" s="139" t="str">
        <f>IFERROR(IF($Z79&gt;$E$12,"",IF($E$5="Uniform Inputs",INDEX($D$45:$E$53,MATCH($AJ$3,$B$45:$B$53,0),MATCH(AL$4,$D$44:$E$44,0)),IF(AQ79=0,"",AQ79))),"")</f>
        <v/>
      </c>
      <c r="AM79" s="139" t="str">
        <f>IFERROR(IF($Z79&gt;$E$12,"",IF($E$5="Uniform Inputs",INDEX($D$45:$E$53,MATCH($AJ$3,$B$45:$B$53,0),MATCH(AM$4,$D$44:$E$44,0)),IF(AR79=0,"",AR79))),"")</f>
        <v/>
      </c>
      <c r="AN79" s="10" t="str">
        <f t="shared" si="62"/>
        <v/>
      </c>
      <c r="AO79" s="11" t="s">
        <v>22</v>
      </c>
      <c r="AP79" s="168" t="s">
        <v>22</v>
      </c>
      <c r="AQ79" s="11" t="s">
        <v>22</v>
      </c>
      <c r="AR79" s="11" t="s">
        <v>22</v>
      </c>
      <c r="AS79" s="139" t="str">
        <f>IF($E$5="Uniform Inputs",IF($Z79&gt;$E$14,"",IF($E$23="Pro-Rata",MIN(AU79*AN79,(($I$5+'Cash Flows'!$BX$8+INDEX('Cash Flows'!$C$19:$BW$19,1,MATCH(EOMONTH(AT79,MOD(-MONTH(AT79),3)-3),'Cash Flows'!$C$4:$BW$4,0)))-SUM($AJ$5,$AA$5))/$E$14),MIN($E$25,(($I$5+'Cash Flows'!$BX$8+INDEX('Cash Flows'!$C$19:$BW$19,1,MATCH(EOMONTH(AT79,MOD(-MONTH(AT79),3)-3),'Cash Flows'!$C$4:$BW$4,0)))-SUM($AJ$5,$AA$5))/$E$14))),IF(AX79=0,"",AX79))</f>
        <v/>
      </c>
      <c r="AT79" s="112" t="str">
        <f t="shared" si="63"/>
        <v/>
      </c>
      <c r="AU79" s="139" t="str">
        <f>IFERROR(IF($Z79&gt;$E$12,"",IF($E$5="Uniform Inputs",INDEX($D$45:$E$53,MATCH($AS$3,$B$45:$B$53,0),MATCH(AU$4,$D$44:$E$44,0)),IF(AZ79=0,"",AZ79))),"")</f>
        <v/>
      </c>
      <c r="AV79" s="139" t="str">
        <f>IFERROR(IF($Z79&gt;$E$12,"",IF($E$5="Uniform Inputs",INDEX($D$45:$E$53,MATCH($AS$3,$B$45:$B$53,0),MATCH(AV$4,$D$44:$E$44,0)),IF(BA79=0,"",BA79))),"")</f>
        <v/>
      </c>
      <c r="AW79" s="10" t="str">
        <f t="shared" si="64"/>
        <v/>
      </c>
      <c r="AX79" s="11" t="s">
        <v>22</v>
      </c>
      <c r="AY79" s="168" t="s">
        <v>22</v>
      </c>
      <c r="AZ79" s="11" t="s">
        <v>22</v>
      </c>
      <c r="BA79" s="11" t="s">
        <v>22</v>
      </c>
      <c r="BB79" s="139" t="str">
        <f>IF($E$5="Uniform Inputs",IF($Z79&gt;$E$15,"",IF($E$23="Pro-Rata",MIN(BD79*AW79,(($I$5+'Cash Flows'!$BX$8+INDEX('Cash Flows'!$C$19:$BW$19,1,MATCH(EOMONTH(BC79,MOD(-MONTH(BC79),3)-3),'Cash Flows'!$C$4:$BW$4,0)))-SUM($AS$5,$AJ$5,$AA$5))/$E$15),MIN($E$26,(($I$5+'Cash Flows'!$BX$8+INDEX('Cash Flows'!$C$19:$BW$19,1,MATCH(EOMONTH(BC79,MOD(-MONTH(BC79),3)-3),'Cash Flows'!$C$4:$BW$4,0)))-SUM($AS$5,$AJ$5,$AA$5))/$E$15))),IF(BG79=0,"",BG79))</f>
        <v/>
      </c>
      <c r="BC79" s="112" t="str">
        <f t="shared" si="65"/>
        <v/>
      </c>
      <c r="BD79" s="139" t="str">
        <f>IFERROR(IF($Z79&gt;$E$12,"",IF($E$5="Uniform Inputs",INDEX($D$45:$E$53,MATCH($BB$3,$B$45:$B$53,0),MATCH(BD$4,$D$44:$E$44,0)),IF(BI79=0,"",BI79))),"")</f>
        <v/>
      </c>
      <c r="BE79" s="139" t="str">
        <f>IFERROR(IF($Z79&gt;$E$12,"",IF($E$5="Uniform Inputs",INDEX($D$45:$E$53,MATCH($BB$3,$B$45:$B$53,0),MATCH(BE$4,$D$44:$E$44,0)),IF(BJ79=0,"",BJ79))),"")</f>
        <v/>
      </c>
      <c r="BF79" s="10" t="str">
        <f t="shared" si="66"/>
        <v/>
      </c>
      <c r="BG79" s="11" t="s">
        <v>22</v>
      </c>
      <c r="BH79" s="168" t="s">
        <v>22</v>
      </c>
      <c r="BI79" s="11" t="s">
        <v>22</v>
      </c>
      <c r="BJ79" s="11" t="s">
        <v>22</v>
      </c>
      <c r="BK79" s="139" t="str">
        <f>IF($E$5="Uniform Inputs",IF($Z79&gt;$E$16,"",IF($E$23="Pro-Rata",MIN(BM79*BF79,(($I$5+'Cash Flows'!$BX$8+INDEX('Cash Flows'!$C$19:$BW$19,1,MATCH(EOMONTH(BL79,MOD(-MONTH(BL79),3)-3),'Cash Flows'!$C$4:$BW$4,0)))-SUM($BB$5,$AS$5,$AJ$5,$AA$5))/$E$16),MIN($E$27,(($I$5+'Cash Flows'!$BX$8+INDEX('Cash Flows'!$C$19:$BW$19,1,MATCH(EOMONTH(BL79,MOD(-MONTH(BL79),3)-3),'Cash Flows'!$C$4:$BW$4,0)))-SUM($BB$5,$AS$5,$AJ$5,$AA$5))/$E$16))),IF(BP79=0,"",BP79))</f>
        <v/>
      </c>
      <c r="BL79" s="112" t="str">
        <f t="shared" si="67"/>
        <v/>
      </c>
      <c r="BM79" s="139" t="str">
        <f>IFERROR(IF($Z79&gt;$E$12,"",IF($E$5="Uniform Inputs",INDEX($D$45:$E$53,MATCH($BK$3,$B$45:$B$53,0),MATCH(BM$4,$D$44:$E$44,0)),IF(BR79=0,"",BR79))),"")</f>
        <v/>
      </c>
      <c r="BN79" s="139" t="str">
        <f>IFERROR(IF($Z79&gt;$E$12,"",IF($E$5="Uniform Inputs",INDEX($D$45:$E$53,MATCH($BK$3,$B$45:$B$53,0),MATCH(BN$4,$D$44:$E$44,0)),IF(BS79=0,"",BS79))),"")</f>
        <v/>
      </c>
      <c r="BO79" s="10" t="str">
        <f t="shared" si="68"/>
        <v/>
      </c>
      <c r="BP79" s="11" t="s">
        <v>22</v>
      </c>
      <c r="BQ79" s="168" t="s">
        <v>22</v>
      </c>
      <c r="BR79" s="11" t="s">
        <v>22</v>
      </c>
      <c r="BS79" s="11" t="s">
        <v>22</v>
      </c>
      <c r="BT79" s="139" t="str">
        <f t="shared" si="85"/>
        <v/>
      </c>
      <c r="BU79" s="112" t="str">
        <f t="shared" si="69"/>
        <v/>
      </c>
      <c r="BV79" s="139" t="str">
        <f>IFERROR(IF($Z79&gt;$E$12,"",IF($E$5="Uniform Inputs",INDEX($D$45:$E$53,MATCH($BT$3,$B$45:$B$53,0),MATCH(BV$4,$D$44:$E$44,0)),IF(CA79=0,"",CA79))),"")</f>
        <v/>
      </c>
      <c r="BW79" s="139" t="str">
        <f>IFERROR(IF($Z79&gt;$E$12,"",IF($E$5="Uniform Inputs",INDEX($D$45:$E$53,MATCH($BT$3,$B$45:$B$53,0),MATCH(BW$4,$D$44:$E$44,0)),IF(CB79=0,"",CB79))),"")</f>
        <v/>
      </c>
      <c r="BX79" s="10" t="str">
        <f t="shared" si="70"/>
        <v/>
      </c>
      <c r="BY79" s="11" t="s">
        <v>22</v>
      </c>
      <c r="BZ79" s="168" t="s">
        <v>22</v>
      </c>
      <c r="CA79" s="11" t="s">
        <v>22</v>
      </c>
      <c r="CB79" s="11" t="s">
        <v>22</v>
      </c>
      <c r="CC79" s="139" t="str">
        <f t="shared" si="86"/>
        <v/>
      </c>
      <c r="CD79" s="112" t="str">
        <f t="shared" si="71"/>
        <v/>
      </c>
      <c r="CE79" s="139" t="str">
        <f>IFERROR(IF($Z79&gt;$E$12,"",IF($E$5="Uniform Inputs",INDEX($D$45:$E$53,MATCH($CC$3,$B$45:$B$53,0),MATCH(CE$4,$D$44:$E$44,0)),IF(CJ79=0,"",CJ79))),"")</f>
        <v/>
      </c>
      <c r="CF79" s="139" t="str">
        <f>IFERROR(IF($Z79&gt;$E$12,"",IF($E$5="Uniform Inputs",INDEX($D$45:$E$53,MATCH($CC$3,$B$45:$B$53,0),MATCH(CF$4,$D$44:$E$44,0)),IF(CK79=0,"",CK79))),"")</f>
        <v/>
      </c>
      <c r="CG79" s="10" t="str">
        <f t="shared" si="72"/>
        <v/>
      </c>
      <c r="CH79" s="11" t="s">
        <v>22</v>
      </c>
      <c r="CI79" s="168" t="s">
        <v>22</v>
      </c>
      <c r="CJ79" s="11" t="s">
        <v>22</v>
      </c>
      <c r="CK79" s="11" t="s">
        <v>22</v>
      </c>
      <c r="CL79" s="139" t="str">
        <f t="shared" si="87"/>
        <v/>
      </c>
      <c r="CM79" s="112" t="str">
        <f t="shared" si="73"/>
        <v/>
      </c>
      <c r="CN79" s="139" t="str">
        <f>IFERROR(IF($Z79&gt;$E$12,"",IF($E$5="Uniform Inputs",INDEX($D$45:$E$53,MATCH($CL$3,$B$45:$B$53,0),MATCH(CN$4,$D$44:$E$44,0)),IF(CS79=0,"",CS79))),"")</f>
        <v/>
      </c>
      <c r="CO79" s="139" t="str">
        <f>IFERROR(IF($Z79&gt;$E$12,"",IF($E$5="Uniform Inputs",INDEX($D$45:$E$53,MATCH($CL$3,$B$45:$B$53,0),MATCH(CO$4,$D$44:$E$44,0)),IF(CT79=0,"",CT79))),"")</f>
        <v/>
      </c>
      <c r="CP79" s="10" t="str">
        <f t="shared" si="74"/>
        <v/>
      </c>
      <c r="CQ79" s="11" t="s">
        <v>22</v>
      </c>
      <c r="CR79" s="168" t="s">
        <v>22</v>
      </c>
      <c r="CS79" s="11" t="s">
        <v>22</v>
      </c>
      <c r="CT79" s="11" t="s">
        <v>22</v>
      </c>
      <c r="CU79" s="139" t="str">
        <f t="shared" si="88"/>
        <v/>
      </c>
      <c r="CV79" s="112" t="str">
        <f t="shared" si="75"/>
        <v/>
      </c>
      <c r="CW79" s="139" t="str">
        <f>IFERROR(IF($Z79&gt;$E$12,"",IF($E$5="Uniform Inputs",INDEX($D$45:$E$53,MATCH($CU$3,$B$45:$B$53,0),MATCH(CW$4,$D$44:$E$44,0)),IF(DB79=0,"",DB79))),"")</f>
        <v/>
      </c>
      <c r="CX79" s="139" t="str">
        <f>IFERROR(IF($Z79&gt;$E$12,"",IF($E$5="Uniform Inputs",INDEX($D$45:$E$53,MATCH($CU$3,$B$45:$B$53,0),MATCH(CX$4,$D$44:$E$44,0)),IF(DC79=0,"",DC79))),"")</f>
        <v/>
      </c>
      <c r="CY79" s="10" t="str">
        <f t="shared" si="76"/>
        <v/>
      </c>
      <c r="CZ79" s="11" t="s">
        <v>22</v>
      </c>
      <c r="DA79" s="168" t="s">
        <v>22</v>
      </c>
      <c r="DB79" s="11" t="s">
        <v>22</v>
      </c>
      <c r="DC79" s="11" t="s">
        <v>22</v>
      </c>
    </row>
    <row r="80" spans="2:107" x14ac:dyDescent="0.25">
      <c r="B80" s="3" t="s">
        <v>22</v>
      </c>
      <c r="C80" s="3" t="s">
        <v>22</v>
      </c>
      <c r="D80" s="2" t="s">
        <v>22</v>
      </c>
      <c r="K80" s="6" t="str">
        <f t="shared" si="77"/>
        <v/>
      </c>
      <c r="O80" s="6" t="str">
        <f t="shared" si="78"/>
        <v/>
      </c>
      <c r="P80" s="35" t="str">
        <f t="shared" si="56"/>
        <v/>
      </c>
      <c r="Q80" s="102" t="str">
        <f t="shared" si="57"/>
        <v/>
      </c>
      <c r="R80" s="102" t="str">
        <f t="shared" ca="1" si="58"/>
        <v/>
      </c>
      <c r="S80" s="112" t="str">
        <f t="shared" si="79"/>
        <v/>
      </c>
      <c r="T80" s="112" t="str">
        <f t="shared" ca="1" si="59"/>
        <v/>
      </c>
      <c r="U80" s="1" t="str">
        <f t="shared" si="80"/>
        <v/>
      </c>
      <c r="V80" s="1" t="str">
        <f t="shared" ca="1" si="60"/>
        <v/>
      </c>
      <c r="W80" s="34" t="str">
        <f t="shared" ca="1" si="81"/>
        <v/>
      </c>
      <c r="Y80" s="2">
        <v>75</v>
      </c>
      <c r="Z80" s="6" t="str">
        <f t="shared" si="82"/>
        <v/>
      </c>
      <c r="AA80" s="139" t="str">
        <f>IF($E$5="Uniform Inputs",IF($Z80&gt;$E$12,"",MIN($E$21,($I$5+'Cash Flows'!$BX$8+INDEX('Cash Flows'!$C$19:$BW$19,1,MATCH(EOMONTH(AB80,MOD(-MONTH(AB80),3)-3),'Cash Flows'!$C$4:$BW$4,0)))/$E$12)),IF(AF80&gt;0,AF80,""))</f>
        <v/>
      </c>
      <c r="AB80" s="112" t="str">
        <f t="shared" si="83"/>
        <v/>
      </c>
      <c r="AC80" s="139" t="str">
        <f>IFERROR(IF($Z80&gt;$E$12,"",IF($E$5="Uniform Inputs",INDEX($D$45:$E$53,MATCH($AA$3,$B$45:$B$53,0),MATCH(AC$4,$D$44:$E$44,0)),IF(AH80=0,"",AH80))),"")</f>
        <v/>
      </c>
      <c r="AD80" s="139" t="str">
        <f>IFERROR(IF($Z80&gt;$E$12,"",IF($E$5="Uniform Inputs",INDEX($D$45:$E$53,MATCH($AA$3,$B$45:$B$53,0),MATCH(AD$4,$D$44:$E$44,0)),IF(AI80=0,"",AI80))),"")</f>
        <v/>
      </c>
      <c r="AE80" s="10" t="str">
        <f t="shared" si="84"/>
        <v/>
      </c>
      <c r="AF80" s="11" t="s">
        <v>22</v>
      </c>
      <c r="AG80" s="168" t="s">
        <v>22</v>
      </c>
      <c r="AH80" s="11" t="s">
        <v>22</v>
      </c>
      <c r="AI80" s="11" t="s">
        <v>22</v>
      </c>
      <c r="AJ80" s="139" t="str">
        <f>IF($E$5="Uniform Inputs",IF($Z80&gt;$E$13,"",IF($E$23="Pro-Rata",MIN(AL80*AE80,(($I$5+'Cash Flows'!$BX$8+INDEX('Cash Flows'!$C$19:$BW$19,1,MATCH(EOMONTH(AK80,MOD(-MONTH(AK80),3)-3),'Cash Flows'!$C$4:$BW$4,0)))-$AA$5)/$E$13),MIN($E$24,(($I$5+'Cash Flows'!$BX$8+INDEX('Cash Flows'!$C$19:$BW$19,1,MATCH(EOMONTH(AK80,MOD(-MONTH(AK80),3)-3),'Cash Flows'!$C$4:$BW$4,0)))-$AA$5)/$E$13))),IF(AO80=0,"",AO80))</f>
        <v/>
      </c>
      <c r="AK80" s="112" t="str">
        <f t="shared" si="61"/>
        <v/>
      </c>
      <c r="AL80" s="139" t="str">
        <f>IFERROR(IF($Z80&gt;$E$12,"",IF($E$5="Uniform Inputs",INDEX($D$45:$E$53,MATCH($AJ$3,$B$45:$B$53,0),MATCH(AL$4,$D$44:$E$44,0)),IF(AQ80=0,"",AQ80))),"")</f>
        <v/>
      </c>
      <c r="AM80" s="139" t="str">
        <f>IFERROR(IF($Z80&gt;$E$12,"",IF($E$5="Uniform Inputs",INDEX($D$45:$E$53,MATCH($AJ$3,$B$45:$B$53,0),MATCH(AM$4,$D$44:$E$44,0)),IF(AR80=0,"",AR80))),"")</f>
        <v/>
      </c>
      <c r="AN80" s="10" t="str">
        <f t="shared" si="62"/>
        <v/>
      </c>
      <c r="AO80" s="11" t="s">
        <v>22</v>
      </c>
      <c r="AP80" s="168" t="s">
        <v>22</v>
      </c>
      <c r="AQ80" s="11" t="s">
        <v>22</v>
      </c>
      <c r="AR80" s="11" t="s">
        <v>22</v>
      </c>
      <c r="AS80" s="139" t="str">
        <f>IF($E$5="Uniform Inputs",IF($Z80&gt;$E$14,"",IF($E$23="Pro-Rata",MIN(AU80*AN80,(($I$5+'Cash Flows'!$BX$8+INDEX('Cash Flows'!$C$19:$BW$19,1,MATCH(EOMONTH(AT80,MOD(-MONTH(AT80),3)-3),'Cash Flows'!$C$4:$BW$4,0)))-SUM($AJ$5,$AA$5))/$E$14),MIN($E$25,(($I$5+'Cash Flows'!$BX$8+INDEX('Cash Flows'!$C$19:$BW$19,1,MATCH(EOMONTH(AT80,MOD(-MONTH(AT80),3)-3),'Cash Flows'!$C$4:$BW$4,0)))-SUM($AJ$5,$AA$5))/$E$14))),IF(AX80=0,"",AX80))</f>
        <v/>
      </c>
      <c r="AT80" s="112" t="str">
        <f t="shared" si="63"/>
        <v/>
      </c>
      <c r="AU80" s="139" t="str">
        <f>IFERROR(IF($Z80&gt;$E$12,"",IF($E$5="Uniform Inputs",INDEX($D$45:$E$53,MATCH($AS$3,$B$45:$B$53,0),MATCH(AU$4,$D$44:$E$44,0)),IF(AZ80=0,"",AZ80))),"")</f>
        <v/>
      </c>
      <c r="AV80" s="139" t="str">
        <f>IFERROR(IF($Z80&gt;$E$12,"",IF($E$5="Uniform Inputs",INDEX($D$45:$E$53,MATCH($AS$3,$B$45:$B$53,0),MATCH(AV$4,$D$44:$E$44,0)),IF(BA80=0,"",BA80))),"")</f>
        <v/>
      </c>
      <c r="AW80" s="10" t="str">
        <f t="shared" si="64"/>
        <v/>
      </c>
      <c r="AX80" s="11" t="s">
        <v>22</v>
      </c>
      <c r="AY80" s="168" t="s">
        <v>22</v>
      </c>
      <c r="AZ80" s="11" t="s">
        <v>22</v>
      </c>
      <c r="BA80" s="11" t="s">
        <v>22</v>
      </c>
      <c r="BB80" s="139" t="str">
        <f>IF($E$5="Uniform Inputs",IF($Z80&gt;$E$15,"",IF($E$23="Pro-Rata",MIN(BD80*AW80,(($I$5+'Cash Flows'!$BX$8+INDEX('Cash Flows'!$C$19:$BW$19,1,MATCH(EOMONTH(BC80,MOD(-MONTH(BC80),3)-3),'Cash Flows'!$C$4:$BW$4,0)))-SUM($AS$5,$AJ$5,$AA$5))/$E$15),MIN($E$26,(($I$5+'Cash Flows'!$BX$8+INDEX('Cash Flows'!$C$19:$BW$19,1,MATCH(EOMONTH(BC80,MOD(-MONTH(BC80),3)-3),'Cash Flows'!$C$4:$BW$4,0)))-SUM($AS$5,$AJ$5,$AA$5))/$E$15))),IF(BG80=0,"",BG80))</f>
        <v/>
      </c>
      <c r="BC80" s="112" t="str">
        <f t="shared" si="65"/>
        <v/>
      </c>
      <c r="BD80" s="139" t="str">
        <f>IFERROR(IF($Z80&gt;$E$12,"",IF($E$5="Uniform Inputs",INDEX($D$45:$E$53,MATCH($BB$3,$B$45:$B$53,0),MATCH(BD$4,$D$44:$E$44,0)),IF(BI80=0,"",BI80))),"")</f>
        <v/>
      </c>
      <c r="BE80" s="139" t="str">
        <f>IFERROR(IF($Z80&gt;$E$12,"",IF($E$5="Uniform Inputs",INDEX($D$45:$E$53,MATCH($BB$3,$B$45:$B$53,0),MATCH(BE$4,$D$44:$E$44,0)),IF(BJ80=0,"",BJ80))),"")</f>
        <v/>
      </c>
      <c r="BF80" s="10" t="str">
        <f t="shared" si="66"/>
        <v/>
      </c>
      <c r="BG80" s="11" t="s">
        <v>22</v>
      </c>
      <c r="BH80" s="168" t="s">
        <v>22</v>
      </c>
      <c r="BI80" s="11" t="s">
        <v>22</v>
      </c>
      <c r="BJ80" s="11" t="s">
        <v>22</v>
      </c>
      <c r="BK80" s="139" t="str">
        <f>IF($E$5="Uniform Inputs",IF($Z80&gt;$E$16,"",IF($E$23="Pro-Rata",MIN(BM80*BF80,(($I$5+'Cash Flows'!$BX$8+INDEX('Cash Flows'!$C$19:$BW$19,1,MATCH(EOMONTH(BL80,MOD(-MONTH(BL80),3)-3),'Cash Flows'!$C$4:$BW$4,0)))-SUM($BB$5,$AS$5,$AJ$5,$AA$5))/$E$16),MIN($E$27,(($I$5+'Cash Flows'!$BX$8+INDEX('Cash Flows'!$C$19:$BW$19,1,MATCH(EOMONTH(BL80,MOD(-MONTH(BL80),3)-3),'Cash Flows'!$C$4:$BW$4,0)))-SUM($BB$5,$AS$5,$AJ$5,$AA$5))/$E$16))),IF(BP80=0,"",BP80))</f>
        <v/>
      </c>
      <c r="BL80" s="112" t="str">
        <f t="shared" si="67"/>
        <v/>
      </c>
      <c r="BM80" s="139" t="str">
        <f>IFERROR(IF($Z80&gt;$E$12,"",IF($E$5="Uniform Inputs",INDEX($D$45:$E$53,MATCH($BK$3,$B$45:$B$53,0),MATCH(BM$4,$D$44:$E$44,0)),IF(BR80=0,"",BR80))),"")</f>
        <v/>
      </c>
      <c r="BN80" s="139" t="str">
        <f>IFERROR(IF($Z80&gt;$E$12,"",IF($E$5="Uniform Inputs",INDEX($D$45:$E$53,MATCH($BK$3,$B$45:$B$53,0),MATCH(BN$4,$D$44:$E$44,0)),IF(BS80=0,"",BS80))),"")</f>
        <v/>
      </c>
      <c r="BO80" s="10" t="str">
        <f t="shared" si="68"/>
        <v/>
      </c>
      <c r="BP80" s="11" t="s">
        <v>22</v>
      </c>
      <c r="BQ80" s="168" t="s">
        <v>22</v>
      </c>
      <c r="BR80" s="11" t="s">
        <v>22</v>
      </c>
      <c r="BS80" s="11" t="s">
        <v>22</v>
      </c>
      <c r="BT80" s="139" t="str">
        <f t="shared" si="85"/>
        <v/>
      </c>
      <c r="BU80" s="112" t="str">
        <f t="shared" si="69"/>
        <v/>
      </c>
      <c r="BV80" s="139" t="str">
        <f>IFERROR(IF($Z80&gt;$E$12,"",IF($E$5="Uniform Inputs",INDEX($D$45:$E$53,MATCH($BT$3,$B$45:$B$53,0),MATCH(BV$4,$D$44:$E$44,0)),IF(CA80=0,"",CA80))),"")</f>
        <v/>
      </c>
      <c r="BW80" s="139" t="str">
        <f>IFERROR(IF($Z80&gt;$E$12,"",IF($E$5="Uniform Inputs",INDEX($D$45:$E$53,MATCH($BT$3,$B$45:$B$53,0),MATCH(BW$4,$D$44:$E$44,0)),IF(CB80=0,"",CB80))),"")</f>
        <v/>
      </c>
      <c r="BX80" s="10" t="str">
        <f t="shared" si="70"/>
        <v/>
      </c>
      <c r="BY80" s="11" t="s">
        <v>22</v>
      </c>
      <c r="BZ80" s="168" t="s">
        <v>22</v>
      </c>
      <c r="CA80" s="11" t="s">
        <v>22</v>
      </c>
      <c r="CB80" s="11" t="s">
        <v>22</v>
      </c>
      <c r="CC80" s="139" t="str">
        <f t="shared" si="86"/>
        <v/>
      </c>
      <c r="CD80" s="112" t="str">
        <f t="shared" si="71"/>
        <v/>
      </c>
      <c r="CE80" s="139" t="str">
        <f>IFERROR(IF($Z80&gt;$E$12,"",IF($E$5="Uniform Inputs",INDEX($D$45:$E$53,MATCH($CC$3,$B$45:$B$53,0),MATCH(CE$4,$D$44:$E$44,0)),IF(CJ80=0,"",CJ80))),"")</f>
        <v/>
      </c>
      <c r="CF80" s="139" t="str">
        <f>IFERROR(IF($Z80&gt;$E$12,"",IF($E$5="Uniform Inputs",INDEX($D$45:$E$53,MATCH($CC$3,$B$45:$B$53,0),MATCH(CF$4,$D$44:$E$44,0)),IF(CK80=0,"",CK80))),"")</f>
        <v/>
      </c>
      <c r="CG80" s="10" t="str">
        <f t="shared" si="72"/>
        <v/>
      </c>
      <c r="CH80" s="11" t="s">
        <v>22</v>
      </c>
      <c r="CI80" s="168" t="s">
        <v>22</v>
      </c>
      <c r="CJ80" s="11" t="s">
        <v>22</v>
      </c>
      <c r="CK80" s="11" t="s">
        <v>22</v>
      </c>
      <c r="CL80" s="139" t="str">
        <f t="shared" si="87"/>
        <v/>
      </c>
      <c r="CM80" s="112" t="str">
        <f t="shared" si="73"/>
        <v/>
      </c>
      <c r="CN80" s="139" t="str">
        <f>IFERROR(IF($Z80&gt;$E$12,"",IF($E$5="Uniform Inputs",INDEX($D$45:$E$53,MATCH($CL$3,$B$45:$B$53,0),MATCH(CN$4,$D$44:$E$44,0)),IF(CS80=0,"",CS80))),"")</f>
        <v/>
      </c>
      <c r="CO80" s="139" t="str">
        <f>IFERROR(IF($Z80&gt;$E$12,"",IF($E$5="Uniform Inputs",INDEX($D$45:$E$53,MATCH($CL$3,$B$45:$B$53,0),MATCH(CO$4,$D$44:$E$44,0)),IF(CT80=0,"",CT80))),"")</f>
        <v/>
      </c>
      <c r="CP80" s="10" t="str">
        <f t="shared" si="74"/>
        <v/>
      </c>
      <c r="CQ80" s="11" t="s">
        <v>22</v>
      </c>
      <c r="CR80" s="168" t="s">
        <v>22</v>
      </c>
      <c r="CS80" s="11" t="s">
        <v>22</v>
      </c>
      <c r="CT80" s="11" t="s">
        <v>22</v>
      </c>
      <c r="CU80" s="139" t="str">
        <f t="shared" si="88"/>
        <v/>
      </c>
      <c r="CV80" s="112" t="str">
        <f t="shared" si="75"/>
        <v/>
      </c>
      <c r="CW80" s="139" t="str">
        <f>IFERROR(IF($Z80&gt;$E$12,"",IF($E$5="Uniform Inputs",INDEX($D$45:$E$53,MATCH($CU$3,$B$45:$B$53,0),MATCH(CW$4,$D$44:$E$44,0)),IF(DB80=0,"",DB80))),"")</f>
        <v/>
      </c>
      <c r="CX80" s="139" t="str">
        <f>IFERROR(IF($Z80&gt;$E$12,"",IF($E$5="Uniform Inputs",INDEX($D$45:$E$53,MATCH($CU$3,$B$45:$B$53,0),MATCH(CX$4,$D$44:$E$44,0)),IF(DC80=0,"",DC80))),"")</f>
        <v/>
      </c>
      <c r="CY80" s="10" t="str">
        <f t="shared" si="76"/>
        <v/>
      </c>
      <c r="CZ80" s="11" t="s">
        <v>22</v>
      </c>
      <c r="DA80" s="168" t="s">
        <v>22</v>
      </c>
      <c r="DB80" s="11" t="s">
        <v>22</v>
      </c>
      <c r="DC80" s="11" t="s">
        <v>22</v>
      </c>
    </row>
    <row r="81" spans="2:107" x14ac:dyDescent="0.25">
      <c r="B81" s="3" t="s">
        <v>22</v>
      </c>
      <c r="C81" s="3" t="s">
        <v>22</v>
      </c>
      <c r="D81" s="2" t="s">
        <v>22</v>
      </c>
      <c r="K81" s="6" t="str">
        <f t="shared" si="77"/>
        <v/>
      </c>
      <c r="O81" s="6" t="str">
        <f t="shared" si="78"/>
        <v/>
      </c>
      <c r="P81" s="35" t="str">
        <f t="shared" si="56"/>
        <v/>
      </c>
      <c r="Q81" s="102" t="str">
        <f t="shared" si="57"/>
        <v/>
      </c>
      <c r="R81" s="102" t="str">
        <f t="shared" ca="1" si="58"/>
        <v/>
      </c>
      <c r="S81" s="112" t="str">
        <f t="shared" si="79"/>
        <v/>
      </c>
      <c r="T81" s="112" t="str">
        <f t="shared" ca="1" si="59"/>
        <v/>
      </c>
      <c r="U81" s="1" t="str">
        <f t="shared" si="80"/>
        <v/>
      </c>
      <c r="V81" s="1" t="str">
        <f t="shared" ca="1" si="60"/>
        <v/>
      </c>
      <c r="W81" s="34" t="str">
        <f t="shared" ca="1" si="81"/>
        <v/>
      </c>
      <c r="Y81" s="2">
        <v>76</v>
      </c>
      <c r="Z81" s="6" t="str">
        <f t="shared" si="82"/>
        <v/>
      </c>
      <c r="AA81" s="139" t="str">
        <f>IF($E$5="Uniform Inputs",IF($Z81&gt;$E$12,"",MIN($E$21,($I$5+'Cash Flows'!$BX$8+INDEX('Cash Flows'!$C$19:$BW$19,1,MATCH(EOMONTH(AB81,MOD(-MONTH(AB81),3)-3),'Cash Flows'!$C$4:$BW$4,0)))/$E$12)),IF(AF81&gt;0,AF81,""))</f>
        <v/>
      </c>
      <c r="AB81" s="112" t="str">
        <f t="shared" si="83"/>
        <v/>
      </c>
      <c r="AC81" s="139" t="str">
        <f>IFERROR(IF($Z81&gt;$E$12,"",IF($E$5="Uniform Inputs",INDEX($D$45:$E$53,MATCH($AA$3,$B$45:$B$53,0),MATCH(AC$4,$D$44:$E$44,0)),IF(AH81=0,"",AH81))),"")</f>
        <v/>
      </c>
      <c r="AD81" s="139" t="str">
        <f>IFERROR(IF($Z81&gt;$E$12,"",IF($E$5="Uniform Inputs",INDEX($D$45:$E$53,MATCH($AA$3,$B$45:$B$53,0),MATCH(AD$4,$D$44:$E$44,0)),IF(AI81=0,"",AI81))),"")</f>
        <v/>
      </c>
      <c r="AE81" s="10" t="str">
        <f t="shared" si="84"/>
        <v/>
      </c>
      <c r="AF81" s="11" t="s">
        <v>22</v>
      </c>
      <c r="AG81" s="168" t="s">
        <v>22</v>
      </c>
      <c r="AH81" s="11" t="s">
        <v>22</v>
      </c>
      <c r="AI81" s="11" t="s">
        <v>22</v>
      </c>
      <c r="AJ81" s="139" t="str">
        <f>IF($E$5="Uniform Inputs",IF($Z81&gt;$E$13,"",IF($E$23="Pro-Rata",MIN(AL81*AE81,(($I$5+'Cash Flows'!$BX$8+INDEX('Cash Flows'!$C$19:$BW$19,1,MATCH(EOMONTH(AK81,MOD(-MONTH(AK81),3)-3),'Cash Flows'!$C$4:$BW$4,0)))-$AA$5)/$E$13),MIN($E$24,(($I$5+'Cash Flows'!$BX$8+INDEX('Cash Flows'!$C$19:$BW$19,1,MATCH(EOMONTH(AK81,MOD(-MONTH(AK81),3)-3),'Cash Flows'!$C$4:$BW$4,0)))-$AA$5)/$E$13))),IF(AO81=0,"",AO81))</f>
        <v/>
      </c>
      <c r="AK81" s="112" t="str">
        <f t="shared" si="61"/>
        <v/>
      </c>
      <c r="AL81" s="139" t="str">
        <f>IFERROR(IF($Z81&gt;$E$12,"",IF($E$5="Uniform Inputs",INDEX($D$45:$E$53,MATCH($AJ$3,$B$45:$B$53,0),MATCH(AL$4,$D$44:$E$44,0)),IF(AQ81=0,"",AQ81))),"")</f>
        <v/>
      </c>
      <c r="AM81" s="139" t="str">
        <f>IFERROR(IF($Z81&gt;$E$12,"",IF($E$5="Uniform Inputs",INDEX($D$45:$E$53,MATCH($AJ$3,$B$45:$B$53,0),MATCH(AM$4,$D$44:$E$44,0)),IF(AR81=0,"",AR81))),"")</f>
        <v/>
      </c>
      <c r="AN81" s="10" t="str">
        <f t="shared" si="62"/>
        <v/>
      </c>
      <c r="AO81" s="11" t="s">
        <v>22</v>
      </c>
      <c r="AP81" s="168" t="s">
        <v>22</v>
      </c>
      <c r="AQ81" s="11" t="s">
        <v>22</v>
      </c>
      <c r="AR81" s="11" t="s">
        <v>22</v>
      </c>
      <c r="AS81" s="139" t="str">
        <f>IF($E$5="Uniform Inputs",IF($Z81&gt;$E$14,"",IF($E$23="Pro-Rata",MIN(AU81*AN81,(($I$5+'Cash Flows'!$BX$8+INDEX('Cash Flows'!$C$19:$BW$19,1,MATCH(EOMONTH(AT81,MOD(-MONTH(AT81),3)-3),'Cash Flows'!$C$4:$BW$4,0)))-SUM($AJ$5,$AA$5))/$E$14),MIN($E$25,(($I$5+'Cash Flows'!$BX$8+INDEX('Cash Flows'!$C$19:$BW$19,1,MATCH(EOMONTH(AT81,MOD(-MONTH(AT81),3)-3),'Cash Flows'!$C$4:$BW$4,0)))-SUM($AJ$5,$AA$5))/$E$14))),IF(AX81=0,"",AX81))</f>
        <v/>
      </c>
      <c r="AT81" s="112" t="str">
        <f t="shared" si="63"/>
        <v/>
      </c>
      <c r="AU81" s="139" t="str">
        <f>IFERROR(IF($Z81&gt;$E$12,"",IF($E$5="Uniform Inputs",INDEX($D$45:$E$53,MATCH($AS$3,$B$45:$B$53,0),MATCH(AU$4,$D$44:$E$44,0)),IF(AZ81=0,"",AZ81))),"")</f>
        <v/>
      </c>
      <c r="AV81" s="139" t="str">
        <f>IFERROR(IF($Z81&gt;$E$12,"",IF($E$5="Uniform Inputs",INDEX($D$45:$E$53,MATCH($AS$3,$B$45:$B$53,0),MATCH(AV$4,$D$44:$E$44,0)),IF(BA81=0,"",BA81))),"")</f>
        <v/>
      </c>
      <c r="AW81" s="10" t="str">
        <f t="shared" si="64"/>
        <v/>
      </c>
      <c r="AX81" s="11" t="s">
        <v>22</v>
      </c>
      <c r="AY81" s="168" t="s">
        <v>22</v>
      </c>
      <c r="AZ81" s="11" t="s">
        <v>22</v>
      </c>
      <c r="BA81" s="11" t="s">
        <v>22</v>
      </c>
      <c r="BB81" s="139" t="str">
        <f>IF($E$5="Uniform Inputs",IF($Z81&gt;$E$15,"",IF($E$23="Pro-Rata",MIN(BD81*AW81,(($I$5+'Cash Flows'!$BX$8+INDEX('Cash Flows'!$C$19:$BW$19,1,MATCH(EOMONTH(BC81,MOD(-MONTH(BC81),3)-3),'Cash Flows'!$C$4:$BW$4,0)))-SUM($AS$5,$AJ$5,$AA$5))/$E$15),MIN($E$26,(($I$5+'Cash Flows'!$BX$8+INDEX('Cash Flows'!$C$19:$BW$19,1,MATCH(EOMONTH(BC81,MOD(-MONTH(BC81),3)-3),'Cash Flows'!$C$4:$BW$4,0)))-SUM($AS$5,$AJ$5,$AA$5))/$E$15))),IF(BG81=0,"",BG81))</f>
        <v/>
      </c>
      <c r="BC81" s="112" t="str">
        <f t="shared" si="65"/>
        <v/>
      </c>
      <c r="BD81" s="139" t="str">
        <f>IFERROR(IF($Z81&gt;$E$12,"",IF($E$5="Uniform Inputs",INDEX($D$45:$E$53,MATCH($BB$3,$B$45:$B$53,0),MATCH(BD$4,$D$44:$E$44,0)),IF(BI81=0,"",BI81))),"")</f>
        <v/>
      </c>
      <c r="BE81" s="139" t="str">
        <f>IFERROR(IF($Z81&gt;$E$12,"",IF($E$5="Uniform Inputs",INDEX($D$45:$E$53,MATCH($BB$3,$B$45:$B$53,0),MATCH(BE$4,$D$44:$E$44,0)),IF(BJ81=0,"",BJ81))),"")</f>
        <v/>
      </c>
      <c r="BF81" s="10" t="str">
        <f t="shared" si="66"/>
        <v/>
      </c>
      <c r="BG81" s="11" t="s">
        <v>22</v>
      </c>
      <c r="BH81" s="168" t="s">
        <v>22</v>
      </c>
      <c r="BI81" s="11" t="s">
        <v>22</v>
      </c>
      <c r="BJ81" s="11" t="s">
        <v>22</v>
      </c>
      <c r="BK81" s="139" t="str">
        <f>IF($E$5="Uniform Inputs",IF($Z81&gt;$E$16,"",IF($E$23="Pro-Rata",MIN(BM81*BF81,(($I$5+'Cash Flows'!$BX$8+INDEX('Cash Flows'!$C$19:$BW$19,1,MATCH(EOMONTH(BL81,MOD(-MONTH(BL81),3)-3),'Cash Flows'!$C$4:$BW$4,0)))-SUM($BB$5,$AS$5,$AJ$5,$AA$5))/$E$16),MIN($E$27,(($I$5+'Cash Flows'!$BX$8+INDEX('Cash Flows'!$C$19:$BW$19,1,MATCH(EOMONTH(BL81,MOD(-MONTH(BL81),3)-3),'Cash Flows'!$C$4:$BW$4,0)))-SUM($BB$5,$AS$5,$AJ$5,$AA$5))/$E$16))),IF(BP81=0,"",BP81))</f>
        <v/>
      </c>
      <c r="BL81" s="112" t="str">
        <f t="shared" si="67"/>
        <v/>
      </c>
      <c r="BM81" s="139" t="str">
        <f>IFERROR(IF($Z81&gt;$E$12,"",IF($E$5="Uniform Inputs",INDEX($D$45:$E$53,MATCH($BK$3,$B$45:$B$53,0),MATCH(BM$4,$D$44:$E$44,0)),IF(BR81=0,"",BR81))),"")</f>
        <v/>
      </c>
      <c r="BN81" s="139" t="str">
        <f>IFERROR(IF($Z81&gt;$E$12,"",IF($E$5="Uniform Inputs",INDEX($D$45:$E$53,MATCH($BK$3,$B$45:$B$53,0),MATCH(BN$4,$D$44:$E$44,0)),IF(BS81=0,"",BS81))),"")</f>
        <v/>
      </c>
      <c r="BO81" s="10" t="str">
        <f t="shared" si="68"/>
        <v/>
      </c>
      <c r="BP81" s="11" t="s">
        <v>22</v>
      </c>
      <c r="BQ81" s="168" t="s">
        <v>22</v>
      </c>
      <c r="BR81" s="11" t="s">
        <v>22</v>
      </c>
      <c r="BS81" s="11" t="s">
        <v>22</v>
      </c>
      <c r="BT81" s="139" t="str">
        <f t="shared" si="85"/>
        <v/>
      </c>
      <c r="BU81" s="112" t="str">
        <f t="shared" si="69"/>
        <v/>
      </c>
      <c r="BV81" s="139" t="str">
        <f>IFERROR(IF($Z81&gt;$E$12,"",IF($E$5="Uniform Inputs",INDEX($D$45:$E$53,MATCH($BT$3,$B$45:$B$53,0),MATCH(BV$4,$D$44:$E$44,0)),IF(CA81=0,"",CA81))),"")</f>
        <v/>
      </c>
      <c r="BW81" s="139" t="str">
        <f>IFERROR(IF($Z81&gt;$E$12,"",IF($E$5="Uniform Inputs",INDEX($D$45:$E$53,MATCH($BT$3,$B$45:$B$53,0),MATCH(BW$4,$D$44:$E$44,0)),IF(CB81=0,"",CB81))),"")</f>
        <v/>
      </c>
      <c r="BX81" s="10" t="str">
        <f t="shared" si="70"/>
        <v/>
      </c>
      <c r="BY81" s="11" t="s">
        <v>22</v>
      </c>
      <c r="BZ81" s="168" t="s">
        <v>22</v>
      </c>
      <c r="CA81" s="11" t="s">
        <v>22</v>
      </c>
      <c r="CB81" s="11" t="s">
        <v>22</v>
      </c>
      <c r="CC81" s="139" t="str">
        <f t="shared" si="86"/>
        <v/>
      </c>
      <c r="CD81" s="112" t="str">
        <f t="shared" si="71"/>
        <v/>
      </c>
      <c r="CE81" s="139" t="str">
        <f>IFERROR(IF($Z81&gt;$E$12,"",IF($E$5="Uniform Inputs",INDEX($D$45:$E$53,MATCH($CC$3,$B$45:$B$53,0),MATCH(CE$4,$D$44:$E$44,0)),IF(CJ81=0,"",CJ81))),"")</f>
        <v/>
      </c>
      <c r="CF81" s="139" t="str">
        <f>IFERROR(IF($Z81&gt;$E$12,"",IF($E$5="Uniform Inputs",INDEX($D$45:$E$53,MATCH($CC$3,$B$45:$B$53,0),MATCH(CF$4,$D$44:$E$44,0)),IF(CK81=0,"",CK81))),"")</f>
        <v/>
      </c>
      <c r="CG81" s="10" t="str">
        <f t="shared" si="72"/>
        <v/>
      </c>
      <c r="CH81" s="11" t="s">
        <v>22</v>
      </c>
      <c r="CI81" s="168" t="s">
        <v>22</v>
      </c>
      <c r="CJ81" s="11" t="s">
        <v>22</v>
      </c>
      <c r="CK81" s="11" t="s">
        <v>22</v>
      </c>
      <c r="CL81" s="139" t="str">
        <f t="shared" si="87"/>
        <v/>
      </c>
      <c r="CM81" s="112" t="str">
        <f t="shared" si="73"/>
        <v/>
      </c>
      <c r="CN81" s="139" t="str">
        <f>IFERROR(IF($Z81&gt;$E$12,"",IF($E$5="Uniform Inputs",INDEX($D$45:$E$53,MATCH($CL$3,$B$45:$B$53,0),MATCH(CN$4,$D$44:$E$44,0)),IF(CS81=0,"",CS81))),"")</f>
        <v/>
      </c>
      <c r="CO81" s="139" t="str">
        <f>IFERROR(IF($Z81&gt;$E$12,"",IF($E$5="Uniform Inputs",INDEX($D$45:$E$53,MATCH($CL$3,$B$45:$B$53,0),MATCH(CO$4,$D$44:$E$44,0)),IF(CT81=0,"",CT81))),"")</f>
        <v/>
      </c>
      <c r="CP81" s="10" t="str">
        <f t="shared" si="74"/>
        <v/>
      </c>
      <c r="CQ81" s="11" t="s">
        <v>22</v>
      </c>
      <c r="CR81" s="168" t="s">
        <v>22</v>
      </c>
      <c r="CS81" s="11" t="s">
        <v>22</v>
      </c>
      <c r="CT81" s="11" t="s">
        <v>22</v>
      </c>
      <c r="CU81" s="139" t="str">
        <f t="shared" si="88"/>
        <v/>
      </c>
      <c r="CV81" s="112" t="str">
        <f t="shared" si="75"/>
        <v/>
      </c>
      <c r="CW81" s="139" t="str">
        <f>IFERROR(IF($Z81&gt;$E$12,"",IF($E$5="Uniform Inputs",INDEX($D$45:$E$53,MATCH($CU$3,$B$45:$B$53,0),MATCH(CW$4,$D$44:$E$44,0)),IF(DB81=0,"",DB81))),"")</f>
        <v/>
      </c>
      <c r="CX81" s="139" t="str">
        <f>IFERROR(IF($Z81&gt;$E$12,"",IF($E$5="Uniform Inputs",INDEX($D$45:$E$53,MATCH($CU$3,$B$45:$B$53,0),MATCH(CX$4,$D$44:$E$44,0)),IF(DC81=0,"",DC81))),"")</f>
        <v/>
      </c>
      <c r="CY81" s="10" t="str">
        <f t="shared" si="76"/>
        <v/>
      </c>
      <c r="CZ81" s="11" t="s">
        <v>22</v>
      </c>
      <c r="DA81" s="168" t="s">
        <v>22</v>
      </c>
      <c r="DB81" s="11" t="s">
        <v>22</v>
      </c>
      <c r="DC81" s="11" t="s">
        <v>22</v>
      </c>
    </row>
    <row r="82" spans="2:107" x14ac:dyDescent="0.25">
      <c r="B82" s="3" t="s">
        <v>22</v>
      </c>
      <c r="C82" s="3" t="s">
        <v>22</v>
      </c>
      <c r="D82" s="2" t="s">
        <v>22</v>
      </c>
      <c r="K82" s="6" t="str">
        <f t="shared" si="77"/>
        <v/>
      </c>
      <c r="O82" s="6" t="str">
        <f t="shared" si="78"/>
        <v/>
      </c>
      <c r="P82" s="35" t="str">
        <f t="shared" si="56"/>
        <v/>
      </c>
      <c r="Q82" s="102" t="str">
        <f t="shared" si="57"/>
        <v/>
      </c>
      <c r="R82" s="102" t="str">
        <f t="shared" ca="1" si="58"/>
        <v/>
      </c>
      <c r="S82" s="112" t="str">
        <f t="shared" si="79"/>
        <v/>
      </c>
      <c r="T82" s="112" t="str">
        <f t="shared" ca="1" si="59"/>
        <v/>
      </c>
      <c r="U82" s="1" t="str">
        <f t="shared" si="80"/>
        <v/>
      </c>
      <c r="V82" s="1" t="str">
        <f t="shared" ca="1" si="60"/>
        <v/>
      </c>
      <c r="W82" s="34" t="str">
        <f t="shared" ca="1" si="81"/>
        <v/>
      </c>
      <c r="Y82" s="2">
        <v>77</v>
      </c>
      <c r="Z82" s="6" t="str">
        <f t="shared" si="82"/>
        <v/>
      </c>
      <c r="AA82" s="139" t="str">
        <f>IF($E$5="Uniform Inputs",IF($Z82&gt;$E$12,"",MIN($E$21,($I$5+'Cash Flows'!$BX$8+INDEX('Cash Flows'!$C$19:$BW$19,1,MATCH(EOMONTH(AB82,MOD(-MONTH(AB82),3)-3),'Cash Flows'!$C$4:$BW$4,0)))/$E$12)),IF(AF82&gt;0,AF82,""))</f>
        <v/>
      </c>
      <c r="AB82" s="112" t="str">
        <f t="shared" si="83"/>
        <v/>
      </c>
      <c r="AC82" s="139" t="str">
        <f>IFERROR(IF($Z82&gt;$E$12,"",IF($E$5="Uniform Inputs",INDEX($D$45:$E$53,MATCH($AA$3,$B$45:$B$53,0),MATCH(AC$4,$D$44:$E$44,0)),IF(AH82=0,"",AH82))),"")</f>
        <v/>
      </c>
      <c r="AD82" s="139" t="str">
        <f>IFERROR(IF($Z82&gt;$E$12,"",IF($E$5="Uniform Inputs",INDEX($D$45:$E$53,MATCH($AA$3,$B$45:$B$53,0),MATCH(AD$4,$D$44:$E$44,0)),IF(AI82=0,"",AI82))),"")</f>
        <v/>
      </c>
      <c r="AE82" s="10" t="str">
        <f t="shared" si="84"/>
        <v/>
      </c>
      <c r="AF82" s="11" t="s">
        <v>22</v>
      </c>
      <c r="AG82" s="168" t="s">
        <v>22</v>
      </c>
      <c r="AH82" s="11" t="s">
        <v>22</v>
      </c>
      <c r="AI82" s="11" t="s">
        <v>22</v>
      </c>
      <c r="AJ82" s="139" t="str">
        <f>IF($E$5="Uniform Inputs",IF($Z82&gt;$E$13,"",IF($E$23="Pro-Rata",MIN(AL82*AE82,(($I$5+'Cash Flows'!$BX$8+INDEX('Cash Flows'!$C$19:$BW$19,1,MATCH(EOMONTH(AK82,MOD(-MONTH(AK82),3)-3),'Cash Flows'!$C$4:$BW$4,0)))-$AA$5)/$E$13),MIN($E$24,(($I$5+'Cash Flows'!$BX$8+INDEX('Cash Flows'!$C$19:$BW$19,1,MATCH(EOMONTH(AK82,MOD(-MONTH(AK82),3)-3),'Cash Flows'!$C$4:$BW$4,0)))-$AA$5)/$E$13))),IF(AO82=0,"",AO82))</f>
        <v/>
      </c>
      <c r="AK82" s="112" t="str">
        <f t="shared" si="61"/>
        <v/>
      </c>
      <c r="AL82" s="139" t="str">
        <f>IFERROR(IF($Z82&gt;$E$12,"",IF($E$5="Uniform Inputs",INDEX($D$45:$E$53,MATCH($AJ$3,$B$45:$B$53,0),MATCH(AL$4,$D$44:$E$44,0)),IF(AQ82=0,"",AQ82))),"")</f>
        <v/>
      </c>
      <c r="AM82" s="139" t="str">
        <f>IFERROR(IF($Z82&gt;$E$12,"",IF($E$5="Uniform Inputs",INDEX($D$45:$E$53,MATCH($AJ$3,$B$45:$B$53,0),MATCH(AM$4,$D$44:$E$44,0)),IF(AR82=0,"",AR82))),"")</f>
        <v/>
      </c>
      <c r="AN82" s="10" t="str">
        <f t="shared" si="62"/>
        <v/>
      </c>
      <c r="AO82" s="11" t="s">
        <v>22</v>
      </c>
      <c r="AP82" s="168" t="s">
        <v>22</v>
      </c>
      <c r="AQ82" s="11" t="s">
        <v>22</v>
      </c>
      <c r="AR82" s="11" t="s">
        <v>22</v>
      </c>
      <c r="AS82" s="139" t="str">
        <f>IF($E$5="Uniform Inputs",IF($Z82&gt;$E$14,"",IF($E$23="Pro-Rata",MIN(AU82*AN82,(($I$5+'Cash Flows'!$BX$8+INDEX('Cash Flows'!$C$19:$BW$19,1,MATCH(EOMONTH(AT82,MOD(-MONTH(AT82),3)-3),'Cash Flows'!$C$4:$BW$4,0)))-SUM($AJ$5,$AA$5))/$E$14),MIN($E$25,(($I$5+'Cash Flows'!$BX$8+INDEX('Cash Flows'!$C$19:$BW$19,1,MATCH(EOMONTH(AT82,MOD(-MONTH(AT82),3)-3),'Cash Flows'!$C$4:$BW$4,0)))-SUM($AJ$5,$AA$5))/$E$14))),IF(AX82=0,"",AX82))</f>
        <v/>
      </c>
      <c r="AT82" s="112" t="str">
        <f t="shared" si="63"/>
        <v/>
      </c>
      <c r="AU82" s="139" t="str">
        <f>IFERROR(IF($Z82&gt;$E$12,"",IF($E$5="Uniform Inputs",INDEX($D$45:$E$53,MATCH($AS$3,$B$45:$B$53,0),MATCH(AU$4,$D$44:$E$44,0)),IF(AZ82=0,"",AZ82))),"")</f>
        <v/>
      </c>
      <c r="AV82" s="139" t="str">
        <f>IFERROR(IF($Z82&gt;$E$12,"",IF($E$5="Uniform Inputs",INDEX($D$45:$E$53,MATCH($AS$3,$B$45:$B$53,0),MATCH(AV$4,$D$44:$E$44,0)),IF(BA82=0,"",BA82))),"")</f>
        <v/>
      </c>
      <c r="AW82" s="10" t="str">
        <f t="shared" si="64"/>
        <v/>
      </c>
      <c r="AX82" s="11" t="s">
        <v>22</v>
      </c>
      <c r="AY82" s="168" t="s">
        <v>22</v>
      </c>
      <c r="AZ82" s="11" t="s">
        <v>22</v>
      </c>
      <c r="BA82" s="11" t="s">
        <v>22</v>
      </c>
      <c r="BB82" s="139" t="str">
        <f>IF($E$5="Uniform Inputs",IF($Z82&gt;$E$15,"",IF($E$23="Pro-Rata",MIN(BD82*AW82,(($I$5+'Cash Flows'!$BX$8+INDEX('Cash Flows'!$C$19:$BW$19,1,MATCH(EOMONTH(BC82,MOD(-MONTH(BC82),3)-3),'Cash Flows'!$C$4:$BW$4,0)))-SUM($AS$5,$AJ$5,$AA$5))/$E$15),MIN($E$26,(($I$5+'Cash Flows'!$BX$8+INDEX('Cash Flows'!$C$19:$BW$19,1,MATCH(EOMONTH(BC82,MOD(-MONTH(BC82),3)-3),'Cash Flows'!$C$4:$BW$4,0)))-SUM($AS$5,$AJ$5,$AA$5))/$E$15))),IF(BG82=0,"",BG82))</f>
        <v/>
      </c>
      <c r="BC82" s="112" t="str">
        <f t="shared" si="65"/>
        <v/>
      </c>
      <c r="BD82" s="139" t="str">
        <f>IFERROR(IF($Z82&gt;$E$12,"",IF($E$5="Uniform Inputs",INDEX($D$45:$E$53,MATCH($BB$3,$B$45:$B$53,0),MATCH(BD$4,$D$44:$E$44,0)),IF(BI82=0,"",BI82))),"")</f>
        <v/>
      </c>
      <c r="BE82" s="139" t="str">
        <f>IFERROR(IF($Z82&gt;$E$12,"",IF($E$5="Uniform Inputs",INDEX($D$45:$E$53,MATCH($BB$3,$B$45:$B$53,0),MATCH(BE$4,$D$44:$E$44,0)),IF(BJ82=0,"",BJ82))),"")</f>
        <v/>
      </c>
      <c r="BF82" s="10" t="str">
        <f t="shared" si="66"/>
        <v/>
      </c>
      <c r="BG82" s="11" t="s">
        <v>22</v>
      </c>
      <c r="BH82" s="168" t="s">
        <v>22</v>
      </c>
      <c r="BI82" s="11" t="s">
        <v>22</v>
      </c>
      <c r="BJ82" s="11" t="s">
        <v>22</v>
      </c>
      <c r="BK82" s="139" t="str">
        <f>IF($E$5="Uniform Inputs",IF($Z82&gt;$E$16,"",IF($E$23="Pro-Rata",MIN(BM82*BF82,(($I$5+'Cash Flows'!$BX$8+INDEX('Cash Flows'!$C$19:$BW$19,1,MATCH(EOMONTH(BL82,MOD(-MONTH(BL82),3)-3),'Cash Flows'!$C$4:$BW$4,0)))-SUM($BB$5,$AS$5,$AJ$5,$AA$5))/$E$16),MIN($E$27,(($I$5+'Cash Flows'!$BX$8+INDEX('Cash Flows'!$C$19:$BW$19,1,MATCH(EOMONTH(BL82,MOD(-MONTH(BL82),3)-3),'Cash Flows'!$C$4:$BW$4,0)))-SUM($BB$5,$AS$5,$AJ$5,$AA$5))/$E$16))),IF(BP82=0,"",BP82))</f>
        <v/>
      </c>
      <c r="BL82" s="112" t="str">
        <f t="shared" si="67"/>
        <v/>
      </c>
      <c r="BM82" s="139" t="str">
        <f>IFERROR(IF($Z82&gt;$E$12,"",IF($E$5="Uniform Inputs",INDEX($D$45:$E$53,MATCH($BK$3,$B$45:$B$53,0),MATCH(BM$4,$D$44:$E$44,0)),IF(BR82=0,"",BR82))),"")</f>
        <v/>
      </c>
      <c r="BN82" s="139" t="str">
        <f>IFERROR(IF($Z82&gt;$E$12,"",IF($E$5="Uniform Inputs",INDEX($D$45:$E$53,MATCH($BK$3,$B$45:$B$53,0),MATCH(BN$4,$D$44:$E$44,0)),IF(BS82=0,"",BS82))),"")</f>
        <v/>
      </c>
      <c r="BO82" s="10" t="str">
        <f t="shared" si="68"/>
        <v/>
      </c>
      <c r="BP82" s="11" t="s">
        <v>22</v>
      </c>
      <c r="BQ82" s="168" t="s">
        <v>22</v>
      </c>
      <c r="BR82" s="11" t="s">
        <v>22</v>
      </c>
      <c r="BS82" s="11" t="s">
        <v>22</v>
      </c>
      <c r="BT82" s="139" t="str">
        <f t="shared" si="85"/>
        <v/>
      </c>
      <c r="BU82" s="112" t="str">
        <f t="shared" si="69"/>
        <v/>
      </c>
      <c r="BV82" s="139" t="str">
        <f>IFERROR(IF($Z82&gt;$E$12,"",IF($E$5="Uniform Inputs",INDEX($D$45:$E$53,MATCH($BT$3,$B$45:$B$53,0),MATCH(BV$4,$D$44:$E$44,0)),IF(CA82=0,"",CA82))),"")</f>
        <v/>
      </c>
      <c r="BW82" s="139" t="str">
        <f>IFERROR(IF($Z82&gt;$E$12,"",IF($E$5="Uniform Inputs",INDEX($D$45:$E$53,MATCH($BT$3,$B$45:$B$53,0),MATCH(BW$4,$D$44:$E$44,0)),IF(CB82=0,"",CB82))),"")</f>
        <v/>
      </c>
      <c r="BX82" s="10" t="str">
        <f t="shared" si="70"/>
        <v/>
      </c>
      <c r="BY82" s="11" t="s">
        <v>22</v>
      </c>
      <c r="BZ82" s="168" t="s">
        <v>22</v>
      </c>
      <c r="CA82" s="11" t="s">
        <v>22</v>
      </c>
      <c r="CB82" s="11" t="s">
        <v>22</v>
      </c>
      <c r="CC82" s="139" t="str">
        <f t="shared" si="86"/>
        <v/>
      </c>
      <c r="CD82" s="112" t="str">
        <f t="shared" si="71"/>
        <v/>
      </c>
      <c r="CE82" s="139" t="str">
        <f>IFERROR(IF($Z82&gt;$E$12,"",IF($E$5="Uniform Inputs",INDEX($D$45:$E$53,MATCH($CC$3,$B$45:$B$53,0),MATCH(CE$4,$D$44:$E$44,0)),IF(CJ82=0,"",CJ82))),"")</f>
        <v/>
      </c>
      <c r="CF82" s="139" t="str">
        <f>IFERROR(IF($Z82&gt;$E$12,"",IF($E$5="Uniform Inputs",INDEX($D$45:$E$53,MATCH($CC$3,$B$45:$B$53,0),MATCH(CF$4,$D$44:$E$44,0)),IF(CK82=0,"",CK82))),"")</f>
        <v/>
      </c>
      <c r="CG82" s="10" t="str">
        <f t="shared" si="72"/>
        <v/>
      </c>
      <c r="CH82" s="11" t="s">
        <v>22</v>
      </c>
      <c r="CI82" s="168" t="s">
        <v>22</v>
      </c>
      <c r="CJ82" s="11" t="s">
        <v>22</v>
      </c>
      <c r="CK82" s="11" t="s">
        <v>22</v>
      </c>
      <c r="CL82" s="139" t="str">
        <f t="shared" si="87"/>
        <v/>
      </c>
      <c r="CM82" s="112" t="str">
        <f t="shared" si="73"/>
        <v/>
      </c>
      <c r="CN82" s="139" t="str">
        <f>IFERROR(IF($Z82&gt;$E$12,"",IF($E$5="Uniform Inputs",INDEX($D$45:$E$53,MATCH($CL$3,$B$45:$B$53,0),MATCH(CN$4,$D$44:$E$44,0)),IF(CS82=0,"",CS82))),"")</f>
        <v/>
      </c>
      <c r="CO82" s="139" t="str">
        <f>IFERROR(IF($Z82&gt;$E$12,"",IF($E$5="Uniform Inputs",INDEX($D$45:$E$53,MATCH($CL$3,$B$45:$B$53,0),MATCH(CO$4,$D$44:$E$44,0)),IF(CT82=0,"",CT82))),"")</f>
        <v/>
      </c>
      <c r="CP82" s="10" t="str">
        <f t="shared" si="74"/>
        <v/>
      </c>
      <c r="CQ82" s="11" t="s">
        <v>22</v>
      </c>
      <c r="CR82" s="168" t="s">
        <v>22</v>
      </c>
      <c r="CS82" s="11" t="s">
        <v>22</v>
      </c>
      <c r="CT82" s="11" t="s">
        <v>22</v>
      </c>
      <c r="CU82" s="139" t="str">
        <f t="shared" si="88"/>
        <v/>
      </c>
      <c r="CV82" s="112" t="str">
        <f t="shared" si="75"/>
        <v/>
      </c>
      <c r="CW82" s="139" t="str">
        <f>IFERROR(IF($Z82&gt;$E$12,"",IF($E$5="Uniform Inputs",INDEX($D$45:$E$53,MATCH($CU$3,$B$45:$B$53,0),MATCH(CW$4,$D$44:$E$44,0)),IF(DB82=0,"",DB82))),"")</f>
        <v/>
      </c>
      <c r="CX82" s="139" t="str">
        <f>IFERROR(IF($Z82&gt;$E$12,"",IF($E$5="Uniform Inputs",INDEX($D$45:$E$53,MATCH($CU$3,$B$45:$B$53,0),MATCH(CX$4,$D$44:$E$44,0)),IF(DC82=0,"",DC82))),"")</f>
        <v/>
      </c>
      <c r="CY82" s="10" t="str">
        <f t="shared" si="76"/>
        <v/>
      </c>
      <c r="CZ82" s="11" t="s">
        <v>22</v>
      </c>
      <c r="DA82" s="168" t="s">
        <v>22</v>
      </c>
      <c r="DB82" s="11" t="s">
        <v>22</v>
      </c>
      <c r="DC82" s="11" t="s">
        <v>22</v>
      </c>
    </row>
    <row r="83" spans="2:107" x14ac:dyDescent="0.25">
      <c r="B83" s="3" t="s">
        <v>22</v>
      </c>
      <c r="C83" s="3" t="s">
        <v>22</v>
      </c>
      <c r="D83" s="2" t="s">
        <v>22</v>
      </c>
      <c r="K83" s="6" t="str">
        <f t="shared" si="77"/>
        <v/>
      </c>
      <c r="O83" s="6" t="str">
        <f t="shared" si="78"/>
        <v/>
      </c>
      <c r="P83" s="35" t="str">
        <f t="shared" si="56"/>
        <v/>
      </c>
      <c r="Q83" s="102" t="str">
        <f t="shared" si="57"/>
        <v/>
      </c>
      <c r="R83" s="102" t="str">
        <f t="shared" ca="1" si="58"/>
        <v/>
      </c>
      <c r="S83" s="112" t="str">
        <f t="shared" si="79"/>
        <v/>
      </c>
      <c r="T83" s="112" t="str">
        <f t="shared" ca="1" si="59"/>
        <v/>
      </c>
      <c r="U83" s="1" t="str">
        <f t="shared" si="80"/>
        <v/>
      </c>
      <c r="V83" s="1" t="str">
        <f t="shared" ca="1" si="60"/>
        <v/>
      </c>
      <c r="W83" s="34" t="str">
        <f t="shared" ca="1" si="81"/>
        <v/>
      </c>
      <c r="Y83" s="2">
        <v>78</v>
      </c>
      <c r="Z83" s="6" t="str">
        <f t="shared" si="82"/>
        <v/>
      </c>
      <c r="AA83" s="139" t="str">
        <f>IF($E$5="Uniform Inputs",IF($Z83&gt;$E$12,"",MIN($E$21,($I$5+'Cash Flows'!$BX$8+INDEX('Cash Flows'!$C$19:$BW$19,1,MATCH(EOMONTH(AB83,MOD(-MONTH(AB83),3)-3),'Cash Flows'!$C$4:$BW$4,0)))/$E$12)),IF(AF83&gt;0,AF83,""))</f>
        <v/>
      </c>
      <c r="AB83" s="112" t="str">
        <f t="shared" si="83"/>
        <v/>
      </c>
      <c r="AC83" s="139" t="str">
        <f>IFERROR(IF($Z83&gt;$E$12,"",IF($E$5="Uniform Inputs",INDEX($D$45:$E$53,MATCH($AA$3,$B$45:$B$53,0),MATCH(AC$4,$D$44:$E$44,0)),IF(AH83=0,"",AH83))),"")</f>
        <v/>
      </c>
      <c r="AD83" s="139" t="str">
        <f>IFERROR(IF($Z83&gt;$E$12,"",IF($E$5="Uniform Inputs",INDEX($D$45:$E$53,MATCH($AA$3,$B$45:$B$53,0),MATCH(AD$4,$D$44:$E$44,0)),IF(AI83=0,"",AI83))),"")</f>
        <v/>
      </c>
      <c r="AE83" s="10" t="str">
        <f t="shared" si="84"/>
        <v/>
      </c>
      <c r="AF83" s="11" t="s">
        <v>22</v>
      </c>
      <c r="AG83" s="168" t="s">
        <v>22</v>
      </c>
      <c r="AH83" s="11" t="s">
        <v>22</v>
      </c>
      <c r="AI83" s="11" t="s">
        <v>22</v>
      </c>
      <c r="AJ83" s="139" t="str">
        <f>IF($E$5="Uniform Inputs",IF($Z83&gt;$E$13,"",IF($E$23="Pro-Rata",MIN(AL83*AE83,(($I$5+'Cash Flows'!$BX$8+INDEX('Cash Flows'!$C$19:$BW$19,1,MATCH(EOMONTH(AK83,MOD(-MONTH(AK83),3)-3),'Cash Flows'!$C$4:$BW$4,0)))-$AA$5)/$E$13),MIN($E$24,(($I$5+'Cash Flows'!$BX$8+INDEX('Cash Flows'!$C$19:$BW$19,1,MATCH(EOMONTH(AK83,MOD(-MONTH(AK83),3)-3),'Cash Flows'!$C$4:$BW$4,0)))-$AA$5)/$E$13))),IF(AO83=0,"",AO83))</f>
        <v/>
      </c>
      <c r="AK83" s="112" t="str">
        <f t="shared" si="61"/>
        <v/>
      </c>
      <c r="AL83" s="139" t="str">
        <f>IFERROR(IF($Z83&gt;$E$12,"",IF($E$5="Uniform Inputs",INDEX($D$45:$E$53,MATCH($AJ$3,$B$45:$B$53,0),MATCH(AL$4,$D$44:$E$44,0)),IF(AQ83=0,"",AQ83))),"")</f>
        <v/>
      </c>
      <c r="AM83" s="139" t="str">
        <f>IFERROR(IF($Z83&gt;$E$12,"",IF($E$5="Uniform Inputs",INDEX($D$45:$E$53,MATCH($AJ$3,$B$45:$B$53,0),MATCH(AM$4,$D$44:$E$44,0)),IF(AR83=0,"",AR83))),"")</f>
        <v/>
      </c>
      <c r="AN83" s="10" t="str">
        <f t="shared" si="62"/>
        <v/>
      </c>
      <c r="AO83" s="11" t="s">
        <v>22</v>
      </c>
      <c r="AP83" s="168" t="s">
        <v>22</v>
      </c>
      <c r="AQ83" s="11" t="s">
        <v>22</v>
      </c>
      <c r="AR83" s="11" t="s">
        <v>22</v>
      </c>
      <c r="AS83" s="139" t="str">
        <f>IF($E$5="Uniform Inputs",IF($Z83&gt;$E$14,"",IF($E$23="Pro-Rata",MIN(AU83*AN83,(($I$5+'Cash Flows'!$BX$8+INDEX('Cash Flows'!$C$19:$BW$19,1,MATCH(EOMONTH(AT83,MOD(-MONTH(AT83),3)-3),'Cash Flows'!$C$4:$BW$4,0)))-SUM($AJ$5,$AA$5))/$E$14),MIN($E$25,(($I$5+'Cash Flows'!$BX$8+INDEX('Cash Flows'!$C$19:$BW$19,1,MATCH(EOMONTH(AT83,MOD(-MONTH(AT83),3)-3),'Cash Flows'!$C$4:$BW$4,0)))-SUM($AJ$5,$AA$5))/$E$14))),IF(AX83=0,"",AX83))</f>
        <v/>
      </c>
      <c r="AT83" s="112" t="str">
        <f t="shared" si="63"/>
        <v/>
      </c>
      <c r="AU83" s="139" t="str">
        <f>IFERROR(IF($Z83&gt;$E$12,"",IF($E$5="Uniform Inputs",INDEX($D$45:$E$53,MATCH($AS$3,$B$45:$B$53,0),MATCH(AU$4,$D$44:$E$44,0)),IF(AZ83=0,"",AZ83))),"")</f>
        <v/>
      </c>
      <c r="AV83" s="139" t="str">
        <f>IFERROR(IF($Z83&gt;$E$12,"",IF($E$5="Uniform Inputs",INDEX($D$45:$E$53,MATCH($AS$3,$B$45:$B$53,0),MATCH(AV$4,$D$44:$E$44,0)),IF(BA83=0,"",BA83))),"")</f>
        <v/>
      </c>
      <c r="AW83" s="10" t="str">
        <f t="shared" si="64"/>
        <v/>
      </c>
      <c r="AX83" s="11" t="s">
        <v>22</v>
      </c>
      <c r="AY83" s="168" t="s">
        <v>22</v>
      </c>
      <c r="AZ83" s="11" t="s">
        <v>22</v>
      </c>
      <c r="BA83" s="11" t="s">
        <v>22</v>
      </c>
      <c r="BB83" s="139" t="str">
        <f>IF($E$5="Uniform Inputs",IF($Z83&gt;$E$15,"",IF($E$23="Pro-Rata",MIN(BD83*AW83,(($I$5+'Cash Flows'!$BX$8+INDEX('Cash Flows'!$C$19:$BW$19,1,MATCH(EOMONTH(BC83,MOD(-MONTH(BC83),3)-3),'Cash Flows'!$C$4:$BW$4,0)))-SUM($AS$5,$AJ$5,$AA$5))/$E$15),MIN($E$26,(($I$5+'Cash Flows'!$BX$8+INDEX('Cash Flows'!$C$19:$BW$19,1,MATCH(EOMONTH(BC83,MOD(-MONTH(BC83),3)-3),'Cash Flows'!$C$4:$BW$4,0)))-SUM($AS$5,$AJ$5,$AA$5))/$E$15))),IF(BG83=0,"",BG83))</f>
        <v/>
      </c>
      <c r="BC83" s="112" t="str">
        <f t="shared" si="65"/>
        <v/>
      </c>
      <c r="BD83" s="139" t="str">
        <f>IFERROR(IF($Z83&gt;$E$12,"",IF($E$5="Uniform Inputs",INDEX($D$45:$E$53,MATCH($BB$3,$B$45:$B$53,0),MATCH(BD$4,$D$44:$E$44,0)),IF(BI83=0,"",BI83))),"")</f>
        <v/>
      </c>
      <c r="BE83" s="139" t="str">
        <f>IFERROR(IF($Z83&gt;$E$12,"",IF($E$5="Uniform Inputs",INDEX($D$45:$E$53,MATCH($BB$3,$B$45:$B$53,0),MATCH(BE$4,$D$44:$E$44,0)),IF(BJ83=0,"",BJ83))),"")</f>
        <v/>
      </c>
      <c r="BF83" s="10" t="str">
        <f t="shared" si="66"/>
        <v/>
      </c>
      <c r="BG83" s="11" t="s">
        <v>22</v>
      </c>
      <c r="BH83" s="168" t="s">
        <v>22</v>
      </c>
      <c r="BI83" s="11" t="s">
        <v>22</v>
      </c>
      <c r="BJ83" s="11" t="s">
        <v>22</v>
      </c>
      <c r="BK83" s="139" t="str">
        <f>IF($E$5="Uniform Inputs",IF($Z83&gt;$E$16,"",IF($E$23="Pro-Rata",MIN(BM83*BF83,(($I$5+'Cash Flows'!$BX$8+INDEX('Cash Flows'!$C$19:$BW$19,1,MATCH(EOMONTH(BL83,MOD(-MONTH(BL83),3)-3),'Cash Flows'!$C$4:$BW$4,0)))-SUM($BB$5,$AS$5,$AJ$5,$AA$5))/$E$16),MIN($E$27,(($I$5+'Cash Flows'!$BX$8+INDEX('Cash Flows'!$C$19:$BW$19,1,MATCH(EOMONTH(BL83,MOD(-MONTH(BL83),3)-3),'Cash Flows'!$C$4:$BW$4,0)))-SUM($BB$5,$AS$5,$AJ$5,$AA$5))/$E$16))),IF(BP83=0,"",BP83))</f>
        <v/>
      </c>
      <c r="BL83" s="112" t="str">
        <f t="shared" si="67"/>
        <v/>
      </c>
      <c r="BM83" s="139" t="str">
        <f>IFERROR(IF($Z83&gt;$E$12,"",IF($E$5="Uniform Inputs",INDEX($D$45:$E$53,MATCH($BK$3,$B$45:$B$53,0),MATCH(BM$4,$D$44:$E$44,0)),IF(BR83=0,"",BR83))),"")</f>
        <v/>
      </c>
      <c r="BN83" s="139" t="str">
        <f>IFERROR(IF($Z83&gt;$E$12,"",IF($E$5="Uniform Inputs",INDEX($D$45:$E$53,MATCH($BK$3,$B$45:$B$53,0),MATCH(BN$4,$D$44:$E$44,0)),IF(BS83=0,"",BS83))),"")</f>
        <v/>
      </c>
      <c r="BO83" s="10" t="str">
        <f t="shared" si="68"/>
        <v/>
      </c>
      <c r="BP83" s="11" t="s">
        <v>22</v>
      </c>
      <c r="BQ83" s="168" t="s">
        <v>22</v>
      </c>
      <c r="BR83" s="11" t="s">
        <v>22</v>
      </c>
      <c r="BS83" s="11" t="s">
        <v>22</v>
      </c>
      <c r="BT83" s="139" t="str">
        <f t="shared" si="85"/>
        <v/>
      </c>
      <c r="BU83" s="112" t="str">
        <f t="shared" si="69"/>
        <v/>
      </c>
      <c r="BV83" s="139" t="str">
        <f>IFERROR(IF($Z83&gt;$E$12,"",IF($E$5="Uniform Inputs",INDEX($D$45:$E$53,MATCH($BT$3,$B$45:$B$53,0),MATCH(BV$4,$D$44:$E$44,0)),IF(CA83=0,"",CA83))),"")</f>
        <v/>
      </c>
      <c r="BW83" s="139" t="str">
        <f>IFERROR(IF($Z83&gt;$E$12,"",IF($E$5="Uniform Inputs",INDEX($D$45:$E$53,MATCH($BT$3,$B$45:$B$53,0),MATCH(BW$4,$D$44:$E$44,0)),IF(CB83=0,"",CB83))),"")</f>
        <v/>
      </c>
      <c r="BX83" s="10" t="str">
        <f t="shared" si="70"/>
        <v/>
      </c>
      <c r="BY83" s="11" t="s">
        <v>22</v>
      </c>
      <c r="BZ83" s="168" t="s">
        <v>22</v>
      </c>
      <c r="CA83" s="11" t="s">
        <v>22</v>
      </c>
      <c r="CB83" s="11" t="s">
        <v>22</v>
      </c>
      <c r="CC83" s="139" t="str">
        <f t="shared" si="86"/>
        <v/>
      </c>
      <c r="CD83" s="112" t="str">
        <f t="shared" si="71"/>
        <v/>
      </c>
      <c r="CE83" s="139" t="str">
        <f>IFERROR(IF($Z83&gt;$E$12,"",IF($E$5="Uniform Inputs",INDEX($D$45:$E$53,MATCH($CC$3,$B$45:$B$53,0),MATCH(CE$4,$D$44:$E$44,0)),IF(CJ83=0,"",CJ83))),"")</f>
        <v/>
      </c>
      <c r="CF83" s="139" t="str">
        <f>IFERROR(IF($Z83&gt;$E$12,"",IF($E$5="Uniform Inputs",INDEX($D$45:$E$53,MATCH($CC$3,$B$45:$B$53,0),MATCH(CF$4,$D$44:$E$44,0)),IF(CK83=0,"",CK83))),"")</f>
        <v/>
      </c>
      <c r="CG83" s="10" t="str">
        <f t="shared" si="72"/>
        <v/>
      </c>
      <c r="CH83" s="11" t="s">
        <v>22</v>
      </c>
      <c r="CI83" s="168" t="s">
        <v>22</v>
      </c>
      <c r="CJ83" s="11" t="s">
        <v>22</v>
      </c>
      <c r="CK83" s="11" t="s">
        <v>22</v>
      </c>
      <c r="CL83" s="139" t="str">
        <f t="shared" si="87"/>
        <v/>
      </c>
      <c r="CM83" s="112" t="str">
        <f t="shared" si="73"/>
        <v/>
      </c>
      <c r="CN83" s="139" t="str">
        <f>IFERROR(IF($Z83&gt;$E$12,"",IF($E$5="Uniform Inputs",INDEX($D$45:$E$53,MATCH($CL$3,$B$45:$B$53,0),MATCH(CN$4,$D$44:$E$44,0)),IF(CS83=0,"",CS83))),"")</f>
        <v/>
      </c>
      <c r="CO83" s="139" t="str">
        <f>IFERROR(IF($Z83&gt;$E$12,"",IF($E$5="Uniform Inputs",INDEX($D$45:$E$53,MATCH($CL$3,$B$45:$B$53,0),MATCH(CO$4,$D$44:$E$44,0)),IF(CT83=0,"",CT83))),"")</f>
        <v/>
      </c>
      <c r="CP83" s="10" t="str">
        <f t="shared" si="74"/>
        <v/>
      </c>
      <c r="CQ83" s="11" t="s">
        <v>22</v>
      </c>
      <c r="CR83" s="168" t="s">
        <v>22</v>
      </c>
      <c r="CS83" s="11" t="s">
        <v>22</v>
      </c>
      <c r="CT83" s="11" t="s">
        <v>22</v>
      </c>
      <c r="CU83" s="139" t="str">
        <f t="shared" si="88"/>
        <v/>
      </c>
      <c r="CV83" s="112" t="str">
        <f t="shared" si="75"/>
        <v/>
      </c>
      <c r="CW83" s="139" t="str">
        <f>IFERROR(IF($Z83&gt;$E$12,"",IF($E$5="Uniform Inputs",INDEX($D$45:$E$53,MATCH($CU$3,$B$45:$B$53,0),MATCH(CW$4,$D$44:$E$44,0)),IF(DB83=0,"",DB83))),"")</f>
        <v/>
      </c>
      <c r="CX83" s="139" t="str">
        <f>IFERROR(IF($Z83&gt;$E$12,"",IF($E$5="Uniform Inputs",INDEX($D$45:$E$53,MATCH($CU$3,$B$45:$B$53,0),MATCH(CX$4,$D$44:$E$44,0)),IF(DC83=0,"",DC83))),"")</f>
        <v/>
      </c>
      <c r="CY83" s="10" t="str">
        <f t="shared" si="76"/>
        <v/>
      </c>
      <c r="CZ83" s="11" t="s">
        <v>22</v>
      </c>
      <c r="DA83" s="168" t="s">
        <v>22</v>
      </c>
      <c r="DB83" s="11" t="s">
        <v>22</v>
      </c>
      <c r="DC83" s="11" t="s">
        <v>22</v>
      </c>
    </row>
    <row r="84" spans="2:107" x14ac:dyDescent="0.25">
      <c r="B84" s="3" t="s">
        <v>22</v>
      </c>
      <c r="C84" s="3" t="s">
        <v>22</v>
      </c>
      <c r="D84" s="2" t="s">
        <v>22</v>
      </c>
      <c r="K84" s="6" t="str">
        <f t="shared" si="77"/>
        <v/>
      </c>
      <c r="O84" s="6" t="str">
        <f t="shared" si="78"/>
        <v/>
      </c>
      <c r="P84" s="35" t="str">
        <f t="shared" si="56"/>
        <v/>
      </c>
      <c r="Q84" s="102" t="str">
        <f t="shared" si="57"/>
        <v/>
      </c>
      <c r="R84" s="102" t="str">
        <f t="shared" ca="1" si="58"/>
        <v/>
      </c>
      <c r="S84" s="112" t="str">
        <f t="shared" si="79"/>
        <v/>
      </c>
      <c r="T84" s="112" t="str">
        <f t="shared" ca="1" si="59"/>
        <v/>
      </c>
      <c r="U84" s="1" t="str">
        <f t="shared" si="80"/>
        <v/>
      </c>
      <c r="V84" s="1" t="str">
        <f t="shared" ca="1" si="60"/>
        <v/>
      </c>
      <c r="W84" s="34" t="str">
        <f t="shared" ca="1" si="81"/>
        <v/>
      </c>
      <c r="Y84" s="2">
        <v>79</v>
      </c>
      <c r="Z84" s="6" t="str">
        <f t="shared" si="82"/>
        <v/>
      </c>
      <c r="AA84" s="139" t="str">
        <f>IF($E$5="Uniform Inputs",IF($Z84&gt;$E$12,"",MIN($E$21,($I$5+'Cash Flows'!$BX$8+INDEX('Cash Flows'!$C$19:$BW$19,1,MATCH(EOMONTH(AB84,MOD(-MONTH(AB84),3)-3),'Cash Flows'!$C$4:$BW$4,0)))/$E$12)),IF(AF84&gt;0,AF84,""))</f>
        <v/>
      </c>
      <c r="AB84" s="112" t="str">
        <f t="shared" si="83"/>
        <v/>
      </c>
      <c r="AC84" s="139" t="str">
        <f>IFERROR(IF($Z84&gt;$E$12,"",IF($E$5="Uniform Inputs",INDEX($D$45:$E$53,MATCH($AA$3,$B$45:$B$53,0),MATCH(AC$4,$D$44:$E$44,0)),IF(AH84=0,"",AH84))),"")</f>
        <v/>
      </c>
      <c r="AD84" s="139" t="str">
        <f>IFERROR(IF($Z84&gt;$E$12,"",IF($E$5="Uniform Inputs",INDEX($D$45:$E$53,MATCH($AA$3,$B$45:$B$53,0),MATCH(AD$4,$D$44:$E$44,0)),IF(AI84=0,"",AI84))),"")</f>
        <v/>
      </c>
      <c r="AE84" s="10" t="str">
        <f t="shared" si="84"/>
        <v/>
      </c>
      <c r="AF84" s="11" t="s">
        <v>22</v>
      </c>
      <c r="AG84" s="168" t="s">
        <v>22</v>
      </c>
      <c r="AH84" s="11" t="s">
        <v>22</v>
      </c>
      <c r="AI84" s="11" t="s">
        <v>22</v>
      </c>
      <c r="AJ84" s="139" t="str">
        <f>IF($E$5="Uniform Inputs",IF($Z84&gt;$E$13,"",IF($E$23="Pro-Rata",MIN(AL84*AE84,(($I$5+'Cash Flows'!$BX$8+INDEX('Cash Flows'!$C$19:$BW$19,1,MATCH(EOMONTH(AK84,MOD(-MONTH(AK84),3)-3),'Cash Flows'!$C$4:$BW$4,0)))-$AA$5)/$E$13),MIN($E$24,(($I$5+'Cash Flows'!$BX$8+INDEX('Cash Flows'!$C$19:$BW$19,1,MATCH(EOMONTH(AK84,MOD(-MONTH(AK84),3)-3),'Cash Flows'!$C$4:$BW$4,0)))-$AA$5)/$E$13))),IF(AO84=0,"",AO84))</f>
        <v/>
      </c>
      <c r="AK84" s="112" t="str">
        <f t="shared" si="61"/>
        <v/>
      </c>
      <c r="AL84" s="139" t="str">
        <f>IFERROR(IF($Z84&gt;$E$12,"",IF($E$5="Uniform Inputs",INDEX($D$45:$E$53,MATCH($AJ$3,$B$45:$B$53,0),MATCH(AL$4,$D$44:$E$44,0)),IF(AQ84=0,"",AQ84))),"")</f>
        <v/>
      </c>
      <c r="AM84" s="139" t="str">
        <f>IFERROR(IF($Z84&gt;$E$12,"",IF($E$5="Uniform Inputs",INDEX($D$45:$E$53,MATCH($AJ$3,$B$45:$B$53,0),MATCH(AM$4,$D$44:$E$44,0)),IF(AR84=0,"",AR84))),"")</f>
        <v/>
      </c>
      <c r="AN84" s="10" t="str">
        <f t="shared" si="62"/>
        <v/>
      </c>
      <c r="AO84" s="11" t="s">
        <v>22</v>
      </c>
      <c r="AP84" s="168" t="s">
        <v>22</v>
      </c>
      <c r="AQ84" s="11" t="s">
        <v>22</v>
      </c>
      <c r="AR84" s="11" t="s">
        <v>22</v>
      </c>
      <c r="AS84" s="139" t="str">
        <f>IF($E$5="Uniform Inputs",IF($Z84&gt;$E$14,"",IF($E$23="Pro-Rata",MIN(AU84*AN84,(($I$5+'Cash Flows'!$BX$8+INDEX('Cash Flows'!$C$19:$BW$19,1,MATCH(EOMONTH(AT84,MOD(-MONTH(AT84),3)-3),'Cash Flows'!$C$4:$BW$4,0)))-SUM($AJ$5,$AA$5))/$E$14),MIN($E$25,(($I$5+'Cash Flows'!$BX$8+INDEX('Cash Flows'!$C$19:$BW$19,1,MATCH(EOMONTH(AT84,MOD(-MONTH(AT84),3)-3),'Cash Flows'!$C$4:$BW$4,0)))-SUM($AJ$5,$AA$5))/$E$14))),IF(AX84=0,"",AX84))</f>
        <v/>
      </c>
      <c r="AT84" s="112" t="str">
        <f t="shared" si="63"/>
        <v/>
      </c>
      <c r="AU84" s="139" t="str">
        <f>IFERROR(IF($Z84&gt;$E$12,"",IF($E$5="Uniform Inputs",INDEX($D$45:$E$53,MATCH($AS$3,$B$45:$B$53,0),MATCH(AU$4,$D$44:$E$44,0)),IF(AZ84=0,"",AZ84))),"")</f>
        <v/>
      </c>
      <c r="AV84" s="139" t="str">
        <f>IFERROR(IF($Z84&gt;$E$12,"",IF($E$5="Uniform Inputs",INDEX($D$45:$E$53,MATCH($AS$3,$B$45:$B$53,0),MATCH(AV$4,$D$44:$E$44,0)),IF(BA84=0,"",BA84))),"")</f>
        <v/>
      </c>
      <c r="AW84" s="10" t="str">
        <f t="shared" si="64"/>
        <v/>
      </c>
      <c r="AX84" s="11" t="s">
        <v>22</v>
      </c>
      <c r="AY84" s="168" t="s">
        <v>22</v>
      </c>
      <c r="AZ84" s="11" t="s">
        <v>22</v>
      </c>
      <c r="BA84" s="11" t="s">
        <v>22</v>
      </c>
      <c r="BB84" s="139" t="str">
        <f>IF($E$5="Uniform Inputs",IF($Z84&gt;$E$15,"",IF($E$23="Pro-Rata",MIN(BD84*AW84,(($I$5+'Cash Flows'!$BX$8+INDEX('Cash Flows'!$C$19:$BW$19,1,MATCH(EOMONTH(BC84,MOD(-MONTH(BC84),3)-3),'Cash Flows'!$C$4:$BW$4,0)))-SUM($AS$5,$AJ$5,$AA$5))/$E$15),MIN($E$26,(($I$5+'Cash Flows'!$BX$8+INDEX('Cash Flows'!$C$19:$BW$19,1,MATCH(EOMONTH(BC84,MOD(-MONTH(BC84),3)-3),'Cash Flows'!$C$4:$BW$4,0)))-SUM($AS$5,$AJ$5,$AA$5))/$E$15))),IF(BG84=0,"",BG84))</f>
        <v/>
      </c>
      <c r="BC84" s="112" t="str">
        <f t="shared" si="65"/>
        <v/>
      </c>
      <c r="BD84" s="139" t="str">
        <f>IFERROR(IF($Z84&gt;$E$12,"",IF($E$5="Uniform Inputs",INDEX($D$45:$E$53,MATCH($BB$3,$B$45:$B$53,0),MATCH(BD$4,$D$44:$E$44,0)),IF(BI84=0,"",BI84))),"")</f>
        <v/>
      </c>
      <c r="BE84" s="139" t="str">
        <f>IFERROR(IF($Z84&gt;$E$12,"",IF($E$5="Uniform Inputs",INDEX($D$45:$E$53,MATCH($BB$3,$B$45:$B$53,0),MATCH(BE$4,$D$44:$E$44,0)),IF(BJ84=0,"",BJ84))),"")</f>
        <v/>
      </c>
      <c r="BF84" s="10" t="str">
        <f t="shared" si="66"/>
        <v/>
      </c>
      <c r="BG84" s="11" t="s">
        <v>22</v>
      </c>
      <c r="BH84" s="168" t="s">
        <v>22</v>
      </c>
      <c r="BI84" s="11" t="s">
        <v>22</v>
      </c>
      <c r="BJ84" s="11" t="s">
        <v>22</v>
      </c>
      <c r="BK84" s="139" t="str">
        <f>IF($E$5="Uniform Inputs",IF($Z84&gt;$E$16,"",IF($E$23="Pro-Rata",MIN(BM84*BF84,(($I$5+'Cash Flows'!$BX$8+INDEX('Cash Flows'!$C$19:$BW$19,1,MATCH(EOMONTH(BL84,MOD(-MONTH(BL84),3)-3),'Cash Flows'!$C$4:$BW$4,0)))-SUM($BB$5,$AS$5,$AJ$5,$AA$5))/$E$16),MIN($E$27,(($I$5+'Cash Flows'!$BX$8+INDEX('Cash Flows'!$C$19:$BW$19,1,MATCH(EOMONTH(BL84,MOD(-MONTH(BL84),3)-3),'Cash Flows'!$C$4:$BW$4,0)))-SUM($BB$5,$AS$5,$AJ$5,$AA$5))/$E$16))),IF(BP84=0,"",BP84))</f>
        <v/>
      </c>
      <c r="BL84" s="112" t="str">
        <f t="shared" si="67"/>
        <v/>
      </c>
      <c r="BM84" s="139" t="str">
        <f>IFERROR(IF($Z84&gt;$E$12,"",IF($E$5="Uniform Inputs",INDEX($D$45:$E$53,MATCH($BK$3,$B$45:$B$53,0),MATCH(BM$4,$D$44:$E$44,0)),IF(BR84=0,"",BR84))),"")</f>
        <v/>
      </c>
      <c r="BN84" s="139" t="str">
        <f>IFERROR(IF($Z84&gt;$E$12,"",IF($E$5="Uniform Inputs",INDEX($D$45:$E$53,MATCH($BK$3,$B$45:$B$53,0),MATCH(BN$4,$D$44:$E$44,0)),IF(BS84=0,"",BS84))),"")</f>
        <v/>
      </c>
      <c r="BO84" s="10" t="str">
        <f t="shared" si="68"/>
        <v/>
      </c>
      <c r="BP84" s="11" t="s">
        <v>22</v>
      </c>
      <c r="BQ84" s="168" t="s">
        <v>22</v>
      </c>
      <c r="BR84" s="11" t="s">
        <v>22</v>
      </c>
      <c r="BS84" s="11" t="s">
        <v>22</v>
      </c>
      <c r="BT84" s="139" t="str">
        <f t="shared" si="85"/>
        <v/>
      </c>
      <c r="BU84" s="112" t="str">
        <f t="shared" si="69"/>
        <v/>
      </c>
      <c r="BV84" s="139" t="str">
        <f>IFERROR(IF($Z84&gt;$E$12,"",IF($E$5="Uniform Inputs",INDEX($D$45:$E$53,MATCH($BT$3,$B$45:$B$53,0),MATCH(BV$4,$D$44:$E$44,0)),IF(CA84=0,"",CA84))),"")</f>
        <v/>
      </c>
      <c r="BW84" s="139" t="str">
        <f>IFERROR(IF($Z84&gt;$E$12,"",IF($E$5="Uniform Inputs",INDEX($D$45:$E$53,MATCH($BT$3,$B$45:$B$53,0),MATCH(BW$4,$D$44:$E$44,0)),IF(CB84=0,"",CB84))),"")</f>
        <v/>
      </c>
      <c r="BX84" s="10" t="str">
        <f t="shared" si="70"/>
        <v/>
      </c>
      <c r="BY84" s="11" t="s">
        <v>22</v>
      </c>
      <c r="BZ84" s="168" t="s">
        <v>22</v>
      </c>
      <c r="CA84" s="11" t="s">
        <v>22</v>
      </c>
      <c r="CB84" s="11" t="s">
        <v>22</v>
      </c>
      <c r="CC84" s="139" t="str">
        <f t="shared" si="86"/>
        <v/>
      </c>
      <c r="CD84" s="112" t="str">
        <f t="shared" si="71"/>
        <v/>
      </c>
      <c r="CE84" s="139" t="str">
        <f>IFERROR(IF($Z84&gt;$E$12,"",IF($E$5="Uniform Inputs",INDEX($D$45:$E$53,MATCH($CC$3,$B$45:$B$53,0),MATCH(CE$4,$D$44:$E$44,0)),IF(CJ84=0,"",CJ84))),"")</f>
        <v/>
      </c>
      <c r="CF84" s="139" t="str">
        <f>IFERROR(IF($Z84&gt;$E$12,"",IF($E$5="Uniform Inputs",INDEX($D$45:$E$53,MATCH($CC$3,$B$45:$B$53,0),MATCH(CF$4,$D$44:$E$44,0)),IF(CK84=0,"",CK84))),"")</f>
        <v/>
      </c>
      <c r="CG84" s="10" t="str">
        <f t="shared" si="72"/>
        <v/>
      </c>
      <c r="CH84" s="11" t="s">
        <v>22</v>
      </c>
      <c r="CI84" s="168" t="s">
        <v>22</v>
      </c>
      <c r="CJ84" s="11" t="s">
        <v>22</v>
      </c>
      <c r="CK84" s="11" t="s">
        <v>22</v>
      </c>
      <c r="CL84" s="139" t="str">
        <f t="shared" si="87"/>
        <v/>
      </c>
      <c r="CM84" s="112" t="str">
        <f t="shared" si="73"/>
        <v/>
      </c>
      <c r="CN84" s="139" t="str">
        <f>IFERROR(IF($Z84&gt;$E$12,"",IF($E$5="Uniform Inputs",INDEX($D$45:$E$53,MATCH($CL$3,$B$45:$B$53,0),MATCH(CN$4,$D$44:$E$44,0)),IF(CS84=0,"",CS84))),"")</f>
        <v/>
      </c>
      <c r="CO84" s="139" t="str">
        <f>IFERROR(IF($Z84&gt;$E$12,"",IF($E$5="Uniform Inputs",INDEX($D$45:$E$53,MATCH($CL$3,$B$45:$B$53,0),MATCH(CO$4,$D$44:$E$44,0)),IF(CT84=0,"",CT84))),"")</f>
        <v/>
      </c>
      <c r="CP84" s="10" t="str">
        <f t="shared" si="74"/>
        <v/>
      </c>
      <c r="CQ84" s="11" t="s">
        <v>22</v>
      </c>
      <c r="CR84" s="168" t="s">
        <v>22</v>
      </c>
      <c r="CS84" s="11" t="s">
        <v>22</v>
      </c>
      <c r="CT84" s="11" t="s">
        <v>22</v>
      </c>
      <c r="CU84" s="139" t="str">
        <f t="shared" si="88"/>
        <v/>
      </c>
      <c r="CV84" s="112" t="str">
        <f t="shared" si="75"/>
        <v/>
      </c>
      <c r="CW84" s="139" t="str">
        <f>IFERROR(IF($Z84&gt;$E$12,"",IF($E$5="Uniform Inputs",INDEX($D$45:$E$53,MATCH($CU$3,$B$45:$B$53,0),MATCH(CW$4,$D$44:$E$44,0)),IF(DB84=0,"",DB84))),"")</f>
        <v/>
      </c>
      <c r="CX84" s="139" t="str">
        <f>IFERROR(IF($Z84&gt;$E$12,"",IF($E$5="Uniform Inputs",INDEX($D$45:$E$53,MATCH($CU$3,$B$45:$B$53,0),MATCH(CX$4,$D$44:$E$44,0)),IF(DC84=0,"",DC84))),"")</f>
        <v/>
      </c>
      <c r="CY84" s="10" t="str">
        <f t="shared" si="76"/>
        <v/>
      </c>
      <c r="CZ84" s="11" t="s">
        <v>22</v>
      </c>
      <c r="DA84" s="168" t="s">
        <v>22</v>
      </c>
      <c r="DB84" s="11" t="s">
        <v>22</v>
      </c>
      <c r="DC84" s="11" t="s">
        <v>22</v>
      </c>
    </row>
    <row r="85" spans="2:107" x14ac:dyDescent="0.25">
      <c r="B85" s="3" t="s">
        <v>22</v>
      </c>
      <c r="C85" s="3" t="s">
        <v>22</v>
      </c>
      <c r="D85" s="2" t="s">
        <v>22</v>
      </c>
      <c r="K85" s="6" t="str">
        <f t="shared" si="77"/>
        <v/>
      </c>
      <c r="O85" s="6" t="str">
        <f t="shared" si="78"/>
        <v/>
      </c>
      <c r="P85" s="35" t="str">
        <f t="shared" si="56"/>
        <v/>
      </c>
      <c r="Q85" s="102" t="str">
        <f t="shared" si="57"/>
        <v/>
      </c>
      <c r="R85" s="102" t="str">
        <f t="shared" ca="1" si="58"/>
        <v/>
      </c>
      <c r="S85" s="112" t="str">
        <f t="shared" si="79"/>
        <v/>
      </c>
      <c r="T85" s="112" t="str">
        <f t="shared" ca="1" si="59"/>
        <v/>
      </c>
      <c r="U85" s="1" t="str">
        <f t="shared" si="80"/>
        <v/>
      </c>
      <c r="V85" s="1" t="str">
        <f t="shared" ca="1" si="60"/>
        <v/>
      </c>
      <c r="W85" s="34" t="str">
        <f t="shared" ca="1" si="81"/>
        <v/>
      </c>
      <c r="Y85" s="2">
        <v>80</v>
      </c>
      <c r="Z85" s="6" t="str">
        <f t="shared" si="82"/>
        <v/>
      </c>
      <c r="AA85" s="139" t="str">
        <f>IF($E$5="Uniform Inputs",IF($Z85&gt;$E$12,"",MIN($E$21,($I$5+'Cash Flows'!$BX$8+INDEX('Cash Flows'!$C$19:$BW$19,1,MATCH(EOMONTH(AB85,MOD(-MONTH(AB85),3)-3),'Cash Flows'!$C$4:$BW$4,0)))/$E$12)),IF(AF85&gt;0,AF85,""))</f>
        <v/>
      </c>
      <c r="AB85" s="112" t="str">
        <f t="shared" si="83"/>
        <v/>
      </c>
      <c r="AC85" s="139" t="str">
        <f>IFERROR(IF($Z85&gt;$E$12,"",IF($E$5="Uniform Inputs",INDEX($D$45:$E$53,MATCH($AA$3,$B$45:$B$53,0),MATCH(AC$4,$D$44:$E$44,0)),IF(AH85=0,"",AH85))),"")</f>
        <v/>
      </c>
      <c r="AD85" s="139" t="str">
        <f>IFERROR(IF($Z85&gt;$E$12,"",IF($E$5="Uniform Inputs",INDEX($D$45:$E$53,MATCH($AA$3,$B$45:$B$53,0),MATCH(AD$4,$D$44:$E$44,0)),IF(AI85=0,"",AI85))),"")</f>
        <v/>
      </c>
      <c r="AE85" s="10" t="str">
        <f t="shared" si="84"/>
        <v/>
      </c>
      <c r="AF85" s="11" t="s">
        <v>22</v>
      </c>
      <c r="AG85" s="168" t="s">
        <v>22</v>
      </c>
      <c r="AH85" s="11" t="s">
        <v>22</v>
      </c>
      <c r="AI85" s="11" t="s">
        <v>22</v>
      </c>
      <c r="AJ85" s="139" t="str">
        <f>IF($E$5="Uniform Inputs",IF($Z85&gt;$E$13,"",IF($E$23="Pro-Rata",MIN(AL85*AE85,(($I$5+'Cash Flows'!$BX$8+INDEX('Cash Flows'!$C$19:$BW$19,1,MATCH(EOMONTH(AK85,MOD(-MONTH(AK85),3)-3),'Cash Flows'!$C$4:$BW$4,0)))-$AA$5)/$E$13),MIN($E$24,(($I$5+'Cash Flows'!$BX$8+INDEX('Cash Flows'!$C$19:$BW$19,1,MATCH(EOMONTH(AK85,MOD(-MONTH(AK85),3)-3),'Cash Flows'!$C$4:$BW$4,0)))-$AA$5)/$E$13))),IF(AO85=0,"",AO85))</f>
        <v/>
      </c>
      <c r="AK85" s="112" t="str">
        <f t="shared" si="61"/>
        <v/>
      </c>
      <c r="AL85" s="139" t="str">
        <f>IFERROR(IF($Z85&gt;$E$12,"",IF($E$5="Uniform Inputs",INDEX($D$45:$E$53,MATCH($AJ$3,$B$45:$B$53,0),MATCH(AL$4,$D$44:$E$44,0)),IF(AQ85=0,"",AQ85))),"")</f>
        <v/>
      </c>
      <c r="AM85" s="139" t="str">
        <f>IFERROR(IF($Z85&gt;$E$12,"",IF($E$5="Uniform Inputs",INDEX($D$45:$E$53,MATCH($AJ$3,$B$45:$B$53,0),MATCH(AM$4,$D$44:$E$44,0)),IF(AR85=0,"",AR85))),"")</f>
        <v/>
      </c>
      <c r="AN85" s="10" t="str">
        <f t="shared" si="62"/>
        <v/>
      </c>
      <c r="AO85" s="11" t="s">
        <v>22</v>
      </c>
      <c r="AP85" s="168" t="s">
        <v>22</v>
      </c>
      <c r="AQ85" s="11" t="s">
        <v>22</v>
      </c>
      <c r="AR85" s="11" t="s">
        <v>22</v>
      </c>
      <c r="AS85" s="139" t="str">
        <f>IF($E$5="Uniform Inputs",IF($Z85&gt;$E$14,"",IF($E$23="Pro-Rata",MIN(AU85*AN85,(($I$5+'Cash Flows'!$BX$8+INDEX('Cash Flows'!$C$19:$BW$19,1,MATCH(EOMONTH(AT85,MOD(-MONTH(AT85),3)-3),'Cash Flows'!$C$4:$BW$4,0)))-SUM($AJ$5,$AA$5))/$E$14),MIN($E$25,(($I$5+'Cash Flows'!$BX$8+INDEX('Cash Flows'!$C$19:$BW$19,1,MATCH(EOMONTH(AT85,MOD(-MONTH(AT85),3)-3),'Cash Flows'!$C$4:$BW$4,0)))-SUM($AJ$5,$AA$5))/$E$14))),IF(AX85=0,"",AX85))</f>
        <v/>
      </c>
      <c r="AT85" s="112" t="str">
        <f t="shared" si="63"/>
        <v/>
      </c>
      <c r="AU85" s="139" t="str">
        <f>IFERROR(IF($Z85&gt;$E$12,"",IF($E$5="Uniform Inputs",INDEX($D$45:$E$53,MATCH($AS$3,$B$45:$B$53,0),MATCH(AU$4,$D$44:$E$44,0)),IF(AZ85=0,"",AZ85))),"")</f>
        <v/>
      </c>
      <c r="AV85" s="139" t="str">
        <f>IFERROR(IF($Z85&gt;$E$12,"",IF($E$5="Uniform Inputs",INDEX($D$45:$E$53,MATCH($AS$3,$B$45:$B$53,0),MATCH(AV$4,$D$44:$E$44,0)),IF(BA85=0,"",BA85))),"")</f>
        <v/>
      </c>
      <c r="AW85" s="10" t="str">
        <f t="shared" si="64"/>
        <v/>
      </c>
      <c r="AX85" s="11" t="s">
        <v>22</v>
      </c>
      <c r="AY85" s="168" t="s">
        <v>22</v>
      </c>
      <c r="AZ85" s="11" t="s">
        <v>22</v>
      </c>
      <c r="BA85" s="11" t="s">
        <v>22</v>
      </c>
      <c r="BB85" s="139" t="str">
        <f>IF($E$5="Uniform Inputs",IF($Z85&gt;$E$15,"",IF($E$23="Pro-Rata",MIN(BD85*AW85,(($I$5+'Cash Flows'!$BX$8+INDEX('Cash Flows'!$C$19:$BW$19,1,MATCH(EOMONTH(BC85,MOD(-MONTH(BC85),3)-3),'Cash Flows'!$C$4:$BW$4,0)))-SUM($AS$5,$AJ$5,$AA$5))/$E$15),MIN($E$26,(($I$5+'Cash Flows'!$BX$8+INDEX('Cash Flows'!$C$19:$BW$19,1,MATCH(EOMONTH(BC85,MOD(-MONTH(BC85),3)-3),'Cash Flows'!$C$4:$BW$4,0)))-SUM($AS$5,$AJ$5,$AA$5))/$E$15))),IF(BG85=0,"",BG85))</f>
        <v/>
      </c>
      <c r="BC85" s="112" t="str">
        <f t="shared" si="65"/>
        <v/>
      </c>
      <c r="BD85" s="139" t="str">
        <f>IFERROR(IF($Z85&gt;$E$12,"",IF($E$5="Uniform Inputs",INDEX($D$45:$E$53,MATCH($BB$3,$B$45:$B$53,0),MATCH(BD$4,$D$44:$E$44,0)),IF(BI85=0,"",BI85))),"")</f>
        <v/>
      </c>
      <c r="BE85" s="139" t="str">
        <f>IFERROR(IF($Z85&gt;$E$12,"",IF($E$5="Uniform Inputs",INDEX($D$45:$E$53,MATCH($BB$3,$B$45:$B$53,0),MATCH(BE$4,$D$44:$E$44,0)),IF(BJ85=0,"",BJ85))),"")</f>
        <v/>
      </c>
      <c r="BF85" s="10" t="str">
        <f t="shared" si="66"/>
        <v/>
      </c>
      <c r="BG85" s="11" t="s">
        <v>22</v>
      </c>
      <c r="BH85" s="168" t="s">
        <v>22</v>
      </c>
      <c r="BI85" s="11" t="s">
        <v>22</v>
      </c>
      <c r="BJ85" s="11" t="s">
        <v>22</v>
      </c>
      <c r="BK85" s="139" t="str">
        <f>IF($E$5="Uniform Inputs",IF($Z85&gt;$E$16,"",IF($E$23="Pro-Rata",MIN(BM85*BF85,(($I$5+'Cash Flows'!$BX$8+INDEX('Cash Flows'!$C$19:$BW$19,1,MATCH(EOMONTH(BL85,MOD(-MONTH(BL85),3)-3),'Cash Flows'!$C$4:$BW$4,0)))-SUM($BB$5,$AS$5,$AJ$5,$AA$5))/$E$16),MIN($E$27,(($I$5+'Cash Flows'!$BX$8+INDEX('Cash Flows'!$C$19:$BW$19,1,MATCH(EOMONTH(BL85,MOD(-MONTH(BL85),3)-3),'Cash Flows'!$C$4:$BW$4,0)))-SUM($BB$5,$AS$5,$AJ$5,$AA$5))/$E$16))),IF(BP85=0,"",BP85))</f>
        <v/>
      </c>
      <c r="BL85" s="112" t="str">
        <f t="shared" si="67"/>
        <v/>
      </c>
      <c r="BM85" s="139" t="str">
        <f>IFERROR(IF($Z85&gt;$E$12,"",IF($E$5="Uniform Inputs",INDEX($D$45:$E$53,MATCH($BK$3,$B$45:$B$53,0),MATCH(BM$4,$D$44:$E$44,0)),IF(BR85=0,"",BR85))),"")</f>
        <v/>
      </c>
      <c r="BN85" s="139" t="str">
        <f>IFERROR(IF($Z85&gt;$E$12,"",IF($E$5="Uniform Inputs",INDEX($D$45:$E$53,MATCH($BK$3,$B$45:$B$53,0),MATCH(BN$4,$D$44:$E$44,0)),IF(BS85=0,"",BS85))),"")</f>
        <v/>
      </c>
      <c r="BO85" s="10" t="str">
        <f t="shared" si="68"/>
        <v/>
      </c>
      <c r="BP85" s="11" t="s">
        <v>22</v>
      </c>
      <c r="BQ85" s="168" t="s">
        <v>22</v>
      </c>
      <c r="BR85" s="11" t="s">
        <v>22</v>
      </c>
      <c r="BS85" s="11" t="s">
        <v>22</v>
      </c>
      <c r="BT85" s="139" t="str">
        <f t="shared" si="85"/>
        <v/>
      </c>
      <c r="BU85" s="112" t="str">
        <f t="shared" si="69"/>
        <v/>
      </c>
      <c r="BV85" s="139" t="str">
        <f>IFERROR(IF($Z85&gt;$E$12,"",IF($E$5="Uniform Inputs",INDEX($D$45:$E$53,MATCH($BT$3,$B$45:$B$53,0),MATCH(BV$4,$D$44:$E$44,0)),IF(CA85=0,"",CA85))),"")</f>
        <v/>
      </c>
      <c r="BW85" s="139" t="str">
        <f>IFERROR(IF($Z85&gt;$E$12,"",IF($E$5="Uniform Inputs",INDEX($D$45:$E$53,MATCH($BT$3,$B$45:$B$53,0),MATCH(BW$4,$D$44:$E$44,0)),IF(CB85=0,"",CB85))),"")</f>
        <v/>
      </c>
      <c r="BX85" s="10" t="str">
        <f t="shared" si="70"/>
        <v/>
      </c>
      <c r="BY85" s="11" t="s">
        <v>22</v>
      </c>
      <c r="BZ85" s="168" t="s">
        <v>22</v>
      </c>
      <c r="CA85" s="11" t="s">
        <v>22</v>
      </c>
      <c r="CB85" s="11" t="s">
        <v>22</v>
      </c>
      <c r="CC85" s="139" t="str">
        <f t="shared" si="86"/>
        <v/>
      </c>
      <c r="CD85" s="112" t="str">
        <f t="shared" si="71"/>
        <v/>
      </c>
      <c r="CE85" s="139" t="str">
        <f>IFERROR(IF($Z85&gt;$E$12,"",IF($E$5="Uniform Inputs",INDEX($D$45:$E$53,MATCH($CC$3,$B$45:$B$53,0),MATCH(CE$4,$D$44:$E$44,0)),IF(CJ85=0,"",CJ85))),"")</f>
        <v/>
      </c>
      <c r="CF85" s="139" t="str">
        <f>IFERROR(IF($Z85&gt;$E$12,"",IF($E$5="Uniform Inputs",INDEX($D$45:$E$53,MATCH($CC$3,$B$45:$B$53,0),MATCH(CF$4,$D$44:$E$44,0)),IF(CK85=0,"",CK85))),"")</f>
        <v/>
      </c>
      <c r="CG85" s="10" t="str">
        <f t="shared" si="72"/>
        <v/>
      </c>
      <c r="CH85" s="11" t="s">
        <v>22</v>
      </c>
      <c r="CI85" s="168" t="s">
        <v>22</v>
      </c>
      <c r="CJ85" s="11" t="s">
        <v>22</v>
      </c>
      <c r="CK85" s="11" t="s">
        <v>22</v>
      </c>
      <c r="CL85" s="139" t="str">
        <f t="shared" si="87"/>
        <v/>
      </c>
      <c r="CM85" s="112" t="str">
        <f t="shared" si="73"/>
        <v/>
      </c>
      <c r="CN85" s="139" t="str">
        <f>IFERROR(IF($Z85&gt;$E$12,"",IF($E$5="Uniform Inputs",INDEX($D$45:$E$53,MATCH($CL$3,$B$45:$B$53,0),MATCH(CN$4,$D$44:$E$44,0)),IF(CS85=0,"",CS85))),"")</f>
        <v/>
      </c>
      <c r="CO85" s="139" t="str">
        <f>IFERROR(IF($Z85&gt;$E$12,"",IF($E$5="Uniform Inputs",INDEX($D$45:$E$53,MATCH($CL$3,$B$45:$B$53,0),MATCH(CO$4,$D$44:$E$44,0)),IF(CT85=0,"",CT85))),"")</f>
        <v/>
      </c>
      <c r="CP85" s="10" t="str">
        <f t="shared" si="74"/>
        <v/>
      </c>
      <c r="CQ85" s="11" t="s">
        <v>22</v>
      </c>
      <c r="CR85" s="168" t="s">
        <v>22</v>
      </c>
      <c r="CS85" s="11" t="s">
        <v>22</v>
      </c>
      <c r="CT85" s="11" t="s">
        <v>22</v>
      </c>
      <c r="CU85" s="139" t="str">
        <f t="shared" si="88"/>
        <v/>
      </c>
      <c r="CV85" s="112" t="str">
        <f t="shared" si="75"/>
        <v/>
      </c>
      <c r="CW85" s="139" t="str">
        <f>IFERROR(IF($Z85&gt;$E$12,"",IF($E$5="Uniform Inputs",INDEX($D$45:$E$53,MATCH($CU$3,$B$45:$B$53,0),MATCH(CW$4,$D$44:$E$44,0)),IF(DB85=0,"",DB85))),"")</f>
        <v/>
      </c>
      <c r="CX85" s="139" t="str">
        <f>IFERROR(IF($Z85&gt;$E$12,"",IF($E$5="Uniform Inputs",INDEX($D$45:$E$53,MATCH($CU$3,$B$45:$B$53,0),MATCH(CX$4,$D$44:$E$44,0)),IF(DC85=0,"",DC85))),"")</f>
        <v/>
      </c>
      <c r="CY85" s="10" t="str">
        <f t="shared" si="76"/>
        <v/>
      </c>
      <c r="CZ85" s="11" t="s">
        <v>22</v>
      </c>
      <c r="DA85" s="168" t="s">
        <v>22</v>
      </c>
      <c r="DB85" s="11" t="s">
        <v>22</v>
      </c>
      <c r="DC85" s="11" t="s">
        <v>22</v>
      </c>
    </row>
    <row r="86" spans="2:107" x14ac:dyDescent="0.25">
      <c r="B86" s="3" t="s">
        <v>22</v>
      </c>
      <c r="C86" s="3" t="s">
        <v>22</v>
      </c>
      <c r="D86" s="2" t="s">
        <v>22</v>
      </c>
      <c r="K86" s="6" t="str">
        <f t="shared" si="77"/>
        <v/>
      </c>
      <c r="O86" s="6" t="str">
        <f t="shared" si="78"/>
        <v/>
      </c>
      <c r="P86" s="35" t="str">
        <f t="shared" si="56"/>
        <v/>
      </c>
      <c r="Q86" s="102" t="str">
        <f t="shared" si="57"/>
        <v/>
      </c>
      <c r="R86" s="102" t="str">
        <f t="shared" ca="1" si="58"/>
        <v/>
      </c>
      <c r="S86" s="112" t="str">
        <f t="shared" si="79"/>
        <v/>
      </c>
      <c r="T86" s="112" t="str">
        <f t="shared" ca="1" si="59"/>
        <v/>
      </c>
      <c r="U86" s="1" t="str">
        <f t="shared" si="80"/>
        <v/>
      </c>
      <c r="V86" s="1" t="str">
        <f t="shared" ca="1" si="60"/>
        <v/>
      </c>
      <c r="W86" s="34" t="str">
        <f t="shared" ca="1" si="81"/>
        <v/>
      </c>
      <c r="Y86" s="2">
        <v>81</v>
      </c>
      <c r="Z86" s="6" t="str">
        <f t="shared" si="82"/>
        <v/>
      </c>
      <c r="AA86" s="139" t="str">
        <f>IF($E$5="Uniform Inputs",IF($Z86&gt;$E$12,"",MIN($E$21,($I$5+'Cash Flows'!$BX$8+INDEX('Cash Flows'!$C$19:$BW$19,1,MATCH(EOMONTH(AB86,MOD(-MONTH(AB86),3)-3),'Cash Flows'!$C$4:$BW$4,0)))/$E$12)),IF(AF86&gt;0,AF86,""))</f>
        <v/>
      </c>
      <c r="AB86" s="112" t="str">
        <f t="shared" si="83"/>
        <v/>
      </c>
      <c r="AC86" s="139" t="str">
        <f>IFERROR(IF($Z86&gt;$E$12,"",IF($E$5="Uniform Inputs",INDEX($D$45:$E$53,MATCH($AA$3,$B$45:$B$53,0),MATCH(AC$4,$D$44:$E$44,0)),IF(AH86=0,"",AH86))),"")</f>
        <v/>
      </c>
      <c r="AD86" s="139" t="str">
        <f>IFERROR(IF($Z86&gt;$E$12,"",IF($E$5="Uniform Inputs",INDEX($D$45:$E$53,MATCH($AA$3,$B$45:$B$53,0),MATCH(AD$4,$D$44:$E$44,0)),IF(AI86=0,"",AI86))),"")</f>
        <v/>
      </c>
      <c r="AE86" s="10" t="str">
        <f t="shared" si="84"/>
        <v/>
      </c>
      <c r="AF86" s="11" t="s">
        <v>22</v>
      </c>
      <c r="AG86" s="168" t="s">
        <v>22</v>
      </c>
      <c r="AH86" s="11" t="s">
        <v>22</v>
      </c>
      <c r="AI86" s="11" t="s">
        <v>22</v>
      </c>
      <c r="AJ86" s="139" t="str">
        <f>IF($E$5="Uniform Inputs",IF($Z86&gt;$E$13,"",IF($E$23="Pro-Rata",MIN(AL86*AE86,(($I$5+'Cash Flows'!$BX$8+INDEX('Cash Flows'!$C$19:$BW$19,1,MATCH(EOMONTH(AK86,MOD(-MONTH(AK86),3)-3),'Cash Flows'!$C$4:$BW$4,0)))-$AA$5)/$E$13),MIN($E$24,(($I$5+'Cash Flows'!$BX$8+INDEX('Cash Flows'!$C$19:$BW$19,1,MATCH(EOMONTH(AK86,MOD(-MONTH(AK86),3)-3),'Cash Flows'!$C$4:$BW$4,0)))-$AA$5)/$E$13))),IF(AO86=0,"",AO86))</f>
        <v/>
      </c>
      <c r="AK86" s="112" t="str">
        <f t="shared" si="61"/>
        <v/>
      </c>
      <c r="AL86" s="139" t="str">
        <f>IFERROR(IF($Z86&gt;$E$12,"",IF($E$5="Uniform Inputs",INDEX($D$45:$E$53,MATCH($AJ$3,$B$45:$B$53,0),MATCH(AL$4,$D$44:$E$44,0)),IF(AQ86=0,"",AQ86))),"")</f>
        <v/>
      </c>
      <c r="AM86" s="139" t="str">
        <f>IFERROR(IF($Z86&gt;$E$12,"",IF($E$5="Uniform Inputs",INDEX($D$45:$E$53,MATCH($AJ$3,$B$45:$B$53,0),MATCH(AM$4,$D$44:$E$44,0)),IF(AR86=0,"",AR86))),"")</f>
        <v/>
      </c>
      <c r="AN86" s="10" t="str">
        <f t="shared" si="62"/>
        <v/>
      </c>
      <c r="AO86" s="11" t="s">
        <v>22</v>
      </c>
      <c r="AP86" s="168" t="s">
        <v>22</v>
      </c>
      <c r="AQ86" s="11" t="s">
        <v>22</v>
      </c>
      <c r="AR86" s="11" t="s">
        <v>22</v>
      </c>
      <c r="AS86" s="139" t="str">
        <f>IF($E$5="Uniform Inputs",IF($Z86&gt;$E$14,"",IF($E$23="Pro-Rata",MIN(AU86*AN86,(($I$5+'Cash Flows'!$BX$8+INDEX('Cash Flows'!$C$19:$BW$19,1,MATCH(EOMONTH(AT86,MOD(-MONTH(AT86),3)-3),'Cash Flows'!$C$4:$BW$4,0)))-SUM($AJ$5,$AA$5))/$E$14),MIN($E$25,(($I$5+'Cash Flows'!$BX$8+INDEX('Cash Flows'!$C$19:$BW$19,1,MATCH(EOMONTH(AT86,MOD(-MONTH(AT86),3)-3),'Cash Flows'!$C$4:$BW$4,0)))-SUM($AJ$5,$AA$5))/$E$14))),IF(AX86=0,"",AX86))</f>
        <v/>
      </c>
      <c r="AT86" s="112" t="str">
        <f t="shared" si="63"/>
        <v/>
      </c>
      <c r="AU86" s="139" t="str">
        <f>IFERROR(IF($Z86&gt;$E$12,"",IF($E$5="Uniform Inputs",INDEX($D$45:$E$53,MATCH($AS$3,$B$45:$B$53,0),MATCH(AU$4,$D$44:$E$44,0)),IF(AZ86=0,"",AZ86))),"")</f>
        <v/>
      </c>
      <c r="AV86" s="139" t="str">
        <f>IFERROR(IF($Z86&gt;$E$12,"",IF($E$5="Uniform Inputs",INDEX($D$45:$E$53,MATCH($AS$3,$B$45:$B$53,0),MATCH(AV$4,$D$44:$E$44,0)),IF(BA86=0,"",BA86))),"")</f>
        <v/>
      </c>
      <c r="AW86" s="10" t="str">
        <f t="shared" si="64"/>
        <v/>
      </c>
      <c r="AX86" s="11" t="s">
        <v>22</v>
      </c>
      <c r="AY86" s="168" t="s">
        <v>22</v>
      </c>
      <c r="AZ86" s="11" t="s">
        <v>22</v>
      </c>
      <c r="BA86" s="11" t="s">
        <v>22</v>
      </c>
      <c r="BB86" s="139" t="str">
        <f>IF($E$5="Uniform Inputs",IF($Z86&gt;$E$15,"",IF($E$23="Pro-Rata",MIN(BD86*AW86,(($I$5+'Cash Flows'!$BX$8+INDEX('Cash Flows'!$C$19:$BW$19,1,MATCH(EOMONTH(BC86,MOD(-MONTH(BC86),3)-3),'Cash Flows'!$C$4:$BW$4,0)))-SUM($AS$5,$AJ$5,$AA$5))/$E$15),MIN($E$26,(($I$5+'Cash Flows'!$BX$8+INDEX('Cash Flows'!$C$19:$BW$19,1,MATCH(EOMONTH(BC86,MOD(-MONTH(BC86),3)-3),'Cash Flows'!$C$4:$BW$4,0)))-SUM($AS$5,$AJ$5,$AA$5))/$E$15))),IF(BG86=0,"",BG86))</f>
        <v/>
      </c>
      <c r="BC86" s="112" t="str">
        <f t="shared" si="65"/>
        <v/>
      </c>
      <c r="BD86" s="139" t="str">
        <f>IFERROR(IF($Z86&gt;$E$12,"",IF($E$5="Uniform Inputs",INDEX($D$45:$E$53,MATCH($BB$3,$B$45:$B$53,0),MATCH(BD$4,$D$44:$E$44,0)),IF(BI86=0,"",BI86))),"")</f>
        <v/>
      </c>
      <c r="BE86" s="139" t="str">
        <f>IFERROR(IF($Z86&gt;$E$12,"",IF($E$5="Uniform Inputs",INDEX($D$45:$E$53,MATCH($BB$3,$B$45:$B$53,0),MATCH(BE$4,$D$44:$E$44,0)),IF(BJ86=0,"",BJ86))),"")</f>
        <v/>
      </c>
      <c r="BF86" s="10" t="str">
        <f t="shared" si="66"/>
        <v/>
      </c>
      <c r="BG86" s="11" t="s">
        <v>22</v>
      </c>
      <c r="BH86" s="168" t="s">
        <v>22</v>
      </c>
      <c r="BI86" s="11" t="s">
        <v>22</v>
      </c>
      <c r="BJ86" s="11" t="s">
        <v>22</v>
      </c>
      <c r="BK86" s="139" t="str">
        <f>IF($E$5="Uniform Inputs",IF($Z86&gt;$E$16,"",IF($E$23="Pro-Rata",MIN(BM86*BF86,(($I$5+'Cash Flows'!$BX$8+INDEX('Cash Flows'!$C$19:$BW$19,1,MATCH(EOMONTH(BL86,MOD(-MONTH(BL86),3)-3),'Cash Flows'!$C$4:$BW$4,0)))-SUM($BB$5,$AS$5,$AJ$5,$AA$5))/$E$16),MIN($E$27,(($I$5+'Cash Flows'!$BX$8+INDEX('Cash Flows'!$C$19:$BW$19,1,MATCH(EOMONTH(BL86,MOD(-MONTH(BL86),3)-3),'Cash Flows'!$C$4:$BW$4,0)))-SUM($BB$5,$AS$5,$AJ$5,$AA$5))/$E$16))),IF(BP86=0,"",BP86))</f>
        <v/>
      </c>
      <c r="BL86" s="112" t="str">
        <f t="shared" si="67"/>
        <v/>
      </c>
      <c r="BM86" s="139" t="str">
        <f>IFERROR(IF($Z86&gt;$E$12,"",IF($E$5="Uniform Inputs",INDEX($D$45:$E$53,MATCH($BK$3,$B$45:$B$53,0),MATCH(BM$4,$D$44:$E$44,0)),IF(BR86=0,"",BR86))),"")</f>
        <v/>
      </c>
      <c r="BN86" s="139" t="str">
        <f>IFERROR(IF($Z86&gt;$E$12,"",IF($E$5="Uniform Inputs",INDEX($D$45:$E$53,MATCH($BK$3,$B$45:$B$53,0),MATCH(BN$4,$D$44:$E$44,0)),IF(BS86=0,"",BS86))),"")</f>
        <v/>
      </c>
      <c r="BO86" s="10" t="str">
        <f t="shared" si="68"/>
        <v/>
      </c>
      <c r="BP86" s="11" t="s">
        <v>22</v>
      </c>
      <c r="BQ86" s="168" t="s">
        <v>22</v>
      </c>
      <c r="BR86" s="11" t="s">
        <v>22</v>
      </c>
      <c r="BS86" s="11" t="s">
        <v>22</v>
      </c>
      <c r="BT86" s="139" t="str">
        <f t="shared" si="85"/>
        <v/>
      </c>
      <c r="BU86" s="112" t="str">
        <f t="shared" si="69"/>
        <v/>
      </c>
      <c r="BV86" s="139" t="str">
        <f>IFERROR(IF($Z86&gt;$E$12,"",IF($E$5="Uniform Inputs",INDEX($D$45:$E$53,MATCH($BT$3,$B$45:$B$53,0),MATCH(BV$4,$D$44:$E$44,0)),IF(CA86=0,"",CA86))),"")</f>
        <v/>
      </c>
      <c r="BW86" s="139" t="str">
        <f>IFERROR(IF($Z86&gt;$E$12,"",IF($E$5="Uniform Inputs",INDEX($D$45:$E$53,MATCH($BT$3,$B$45:$B$53,0),MATCH(BW$4,$D$44:$E$44,0)),IF(CB86=0,"",CB86))),"")</f>
        <v/>
      </c>
      <c r="BX86" s="10" t="str">
        <f t="shared" si="70"/>
        <v/>
      </c>
      <c r="BY86" s="11" t="s">
        <v>22</v>
      </c>
      <c r="BZ86" s="168" t="s">
        <v>22</v>
      </c>
      <c r="CA86" s="11" t="s">
        <v>22</v>
      </c>
      <c r="CB86" s="11" t="s">
        <v>22</v>
      </c>
      <c r="CC86" s="139" t="str">
        <f t="shared" si="86"/>
        <v/>
      </c>
      <c r="CD86" s="112" t="str">
        <f t="shared" si="71"/>
        <v/>
      </c>
      <c r="CE86" s="139" t="str">
        <f>IFERROR(IF($Z86&gt;$E$12,"",IF($E$5="Uniform Inputs",INDEX($D$45:$E$53,MATCH($CC$3,$B$45:$B$53,0),MATCH(CE$4,$D$44:$E$44,0)),IF(CJ86=0,"",CJ86))),"")</f>
        <v/>
      </c>
      <c r="CF86" s="139" t="str">
        <f>IFERROR(IF($Z86&gt;$E$12,"",IF($E$5="Uniform Inputs",INDEX($D$45:$E$53,MATCH($CC$3,$B$45:$B$53,0),MATCH(CF$4,$D$44:$E$44,0)),IF(CK86=0,"",CK86))),"")</f>
        <v/>
      </c>
      <c r="CG86" s="10" t="str">
        <f t="shared" si="72"/>
        <v/>
      </c>
      <c r="CH86" s="11" t="s">
        <v>22</v>
      </c>
      <c r="CI86" s="168" t="s">
        <v>22</v>
      </c>
      <c r="CJ86" s="11" t="s">
        <v>22</v>
      </c>
      <c r="CK86" s="11" t="s">
        <v>22</v>
      </c>
      <c r="CL86" s="139" t="str">
        <f t="shared" si="87"/>
        <v/>
      </c>
      <c r="CM86" s="112" t="str">
        <f t="shared" si="73"/>
        <v/>
      </c>
      <c r="CN86" s="139" t="str">
        <f>IFERROR(IF($Z86&gt;$E$12,"",IF($E$5="Uniform Inputs",INDEX($D$45:$E$53,MATCH($CL$3,$B$45:$B$53,0),MATCH(CN$4,$D$44:$E$44,0)),IF(CS86=0,"",CS86))),"")</f>
        <v/>
      </c>
      <c r="CO86" s="139" t="str">
        <f>IFERROR(IF($Z86&gt;$E$12,"",IF($E$5="Uniform Inputs",INDEX($D$45:$E$53,MATCH($CL$3,$B$45:$B$53,0),MATCH(CO$4,$D$44:$E$44,0)),IF(CT86=0,"",CT86))),"")</f>
        <v/>
      </c>
      <c r="CP86" s="10" t="str">
        <f t="shared" si="74"/>
        <v/>
      </c>
      <c r="CQ86" s="11" t="s">
        <v>22</v>
      </c>
      <c r="CR86" s="168" t="s">
        <v>22</v>
      </c>
      <c r="CS86" s="11" t="s">
        <v>22</v>
      </c>
      <c r="CT86" s="11" t="s">
        <v>22</v>
      </c>
      <c r="CU86" s="139" t="str">
        <f t="shared" si="88"/>
        <v/>
      </c>
      <c r="CV86" s="112" t="str">
        <f t="shared" si="75"/>
        <v/>
      </c>
      <c r="CW86" s="139" t="str">
        <f>IFERROR(IF($Z86&gt;$E$12,"",IF($E$5="Uniform Inputs",INDEX($D$45:$E$53,MATCH($CU$3,$B$45:$B$53,0),MATCH(CW$4,$D$44:$E$44,0)),IF(DB86=0,"",DB86))),"")</f>
        <v/>
      </c>
      <c r="CX86" s="139" t="str">
        <f>IFERROR(IF($Z86&gt;$E$12,"",IF($E$5="Uniform Inputs",INDEX($D$45:$E$53,MATCH($CU$3,$B$45:$B$53,0),MATCH(CX$4,$D$44:$E$44,0)),IF(DC86=0,"",DC86))),"")</f>
        <v/>
      </c>
      <c r="CY86" s="10" t="str">
        <f t="shared" si="76"/>
        <v/>
      </c>
      <c r="CZ86" s="11" t="s">
        <v>22</v>
      </c>
      <c r="DA86" s="168" t="s">
        <v>22</v>
      </c>
      <c r="DB86" s="11" t="s">
        <v>22</v>
      </c>
      <c r="DC86" s="11" t="s">
        <v>22</v>
      </c>
    </row>
    <row r="87" spans="2:107" x14ac:dyDescent="0.25">
      <c r="B87" s="3" t="s">
        <v>22</v>
      </c>
      <c r="C87" s="3" t="s">
        <v>22</v>
      </c>
      <c r="D87" s="2" t="s">
        <v>22</v>
      </c>
      <c r="K87" s="6" t="str">
        <f t="shared" si="77"/>
        <v/>
      </c>
      <c r="O87" s="6" t="str">
        <f t="shared" si="78"/>
        <v/>
      </c>
      <c r="P87" s="35" t="str">
        <f t="shared" si="56"/>
        <v/>
      </c>
      <c r="Q87" s="102" t="str">
        <f t="shared" si="57"/>
        <v/>
      </c>
      <c r="R87" s="102" t="str">
        <f t="shared" ca="1" si="58"/>
        <v/>
      </c>
      <c r="S87" s="112" t="str">
        <f t="shared" si="79"/>
        <v/>
      </c>
      <c r="T87" s="112" t="str">
        <f t="shared" ca="1" si="59"/>
        <v/>
      </c>
      <c r="U87" s="1" t="str">
        <f t="shared" si="80"/>
        <v/>
      </c>
      <c r="V87" s="1" t="str">
        <f t="shared" ca="1" si="60"/>
        <v/>
      </c>
      <c r="W87" s="34" t="str">
        <f t="shared" ca="1" si="81"/>
        <v/>
      </c>
      <c r="Y87" s="2">
        <v>82</v>
      </c>
      <c r="Z87" s="6" t="str">
        <f t="shared" si="82"/>
        <v/>
      </c>
      <c r="AA87" s="139" t="str">
        <f>IF($E$5="Uniform Inputs",IF($Z87&gt;$E$12,"",MIN($E$21,($I$5+'Cash Flows'!$BX$8+INDEX('Cash Flows'!$C$19:$BW$19,1,MATCH(EOMONTH(AB87,MOD(-MONTH(AB87),3)-3),'Cash Flows'!$C$4:$BW$4,0)))/$E$12)),IF(AF87&gt;0,AF87,""))</f>
        <v/>
      </c>
      <c r="AB87" s="112" t="str">
        <f t="shared" si="83"/>
        <v/>
      </c>
      <c r="AC87" s="139" t="str">
        <f>IFERROR(IF($Z87&gt;$E$12,"",IF($E$5="Uniform Inputs",INDEX($D$45:$E$53,MATCH($AA$3,$B$45:$B$53,0),MATCH(AC$4,$D$44:$E$44,0)),IF(AH87=0,"",AH87))),"")</f>
        <v/>
      </c>
      <c r="AD87" s="139" t="str">
        <f>IFERROR(IF($Z87&gt;$E$12,"",IF($E$5="Uniform Inputs",INDEX($D$45:$E$53,MATCH($AA$3,$B$45:$B$53,0),MATCH(AD$4,$D$44:$E$44,0)),IF(AI87=0,"",AI87))),"")</f>
        <v/>
      </c>
      <c r="AE87" s="10" t="str">
        <f t="shared" si="84"/>
        <v/>
      </c>
      <c r="AF87" s="11" t="s">
        <v>22</v>
      </c>
      <c r="AG87" s="168" t="s">
        <v>22</v>
      </c>
      <c r="AH87" s="11" t="s">
        <v>22</v>
      </c>
      <c r="AI87" s="11" t="s">
        <v>22</v>
      </c>
      <c r="AJ87" s="139" t="str">
        <f>IF($E$5="Uniform Inputs",IF($Z87&gt;$E$13,"",IF($E$23="Pro-Rata",MIN(AL87*AE87,(($I$5+'Cash Flows'!$BX$8+INDEX('Cash Flows'!$C$19:$BW$19,1,MATCH(EOMONTH(AK87,MOD(-MONTH(AK87),3)-3),'Cash Flows'!$C$4:$BW$4,0)))-$AA$5)/$E$13),MIN($E$24,(($I$5+'Cash Flows'!$BX$8+INDEX('Cash Flows'!$C$19:$BW$19,1,MATCH(EOMONTH(AK87,MOD(-MONTH(AK87),3)-3),'Cash Flows'!$C$4:$BW$4,0)))-$AA$5)/$E$13))),IF(AO87=0,"",AO87))</f>
        <v/>
      </c>
      <c r="AK87" s="112" t="str">
        <f t="shared" si="61"/>
        <v/>
      </c>
      <c r="AL87" s="139" t="str">
        <f>IFERROR(IF($Z87&gt;$E$12,"",IF($E$5="Uniform Inputs",INDEX($D$45:$E$53,MATCH($AJ$3,$B$45:$B$53,0),MATCH(AL$4,$D$44:$E$44,0)),IF(AQ87=0,"",AQ87))),"")</f>
        <v/>
      </c>
      <c r="AM87" s="139" t="str">
        <f>IFERROR(IF($Z87&gt;$E$12,"",IF($E$5="Uniform Inputs",INDEX($D$45:$E$53,MATCH($AJ$3,$B$45:$B$53,0),MATCH(AM$4,$D$44:$E$44,0)),IF(AR87=0,"",AR87))),"")</f>
        <v/>
      </c>
      <c r="AN87" s="10" t="str">
        <f t="shared" si="62"/>
        <v/>
      </c>
      <c r="AO87" s="11" t="s">
        <v>22</v>
      </c>
      <c r="AP87" s="168" t="s">
        <v>22</v>
      </c>
      <c r="AQ87" s="11" t="s">
        <v>22</v>
      </c>
      <c r="AR87" s="11" t="s">
        <v>22</v>
      </c>
      <c r="AS87" s="139" t="str">
        <f>IF($E$5="Uniform Inputs",IF($Z87&gt;$E$14,"",IF($E$23="Pro-Rata",MIN(AU87*AN87,(($I$5+'Cash Flows'!$BX$8+INDEX('Cash Flows'!$C$19:$BW$19,1,MATCH(EOMONTH(AT87,MOD(-MONTH(AT87),3)-3),'Cash Flows'!$C$4:$BW$4,0)))-SUM($AJ$5,$AA$5))/$E$14),MIN($E$25,(($I$5+'Cash Flows'!$BX$8+INDEX('Cash Flows'!$C$19:$BW$19,1,MATCH(EOMONTH(AT87,MOD(-MONTH(AT87),3)-3),'Cash Flows'!$C$4:$BW$4,0)))-SUM($AJ$5,$AA$5))/$E$14))),IF(AX87=0,"",AX87))</f>
        <v/>
      </c>
      <c r="AT87" s="112" t="str">
        <f t="shared" si="63"/>
        <v/>
      </c>
      <c r="AU87" s="139" t="str">
        <f>IFERROR(IF($Z87&gt;$E$12,"",IF($E$5="Uniform Inputs",INDEX($D$45:$E$53,MATCH($AS$3,$B$45:$B$53,0),MATCH(AU$4,$D$44:$E$44,0)),IF(AZ87=0,"",AZ87))),"")</f>
        <v/>
      </c>
      <c r="AV87" s="139" t="str">
        <f>IFERROR(IF($Z87&gt;$E$12,"",IF($E$5="Uniform Inputs",INDEX($D$45:$E$53,MATCH($AS$3,$B$45:$B$53,0),MATCH(AV$4,$D$44:$E$44,0)),IF(BA87=0,"",BA87))),"")</f>
        <v/>
      </c>
      <c r="AW87" s="10" t="str">
        <f t="shared" si="64"/>
        <v/>
      </c>
      <c r="AX87" s="11" t="s">
        <v>22</v>
      </c>
      <c r="AY87" s="168" t="s">
        <v>22</v>
      </c>
      <c r="AZ87" s="11" t="s">
        <v>22</v>
      </c>
      <c r="BA87" s="11" t="s">
        <v>22</v>
      </c>
      <c r="BB87" s="139" t="str">
        <f>IF($E$5="Uniform Inputs",IF($Z87&gt;$E$15,"",IF($E$23="Pro-Rata",MIN(BD87*AW87,(($I$5+'Cash Flows'!$BX$8+INDEX('Cash Flows'!$C$19:$BW$19,1,MATCH(EOMONTH(BC87,MOD(-MONTH(BC87),3)-3),'Cash Flows'!$C$4:$BW$4,0)))-SUM($AS$5,$AJ$5,$AA$5))/$E$15),MIN($E$26,(($I$5+'Cash Flows'!$BX$8+INDEX('Cash Flows'!$C$19:$BW$19,1,MATCH(EOMONTH(BC87,MOD(-MONTH(BC87),3)-3),'Cash Flows'!$C$4:$BW$4,0)))-SUM($AS$5,$AJ$5,$AA$5))/$E$15))),IF(BG87=0,"",BG87))</f>
        <v/>
      </c>
      <c r="BC87" s="112" t="str">
        <f t="shared" si="65"/>
        <v/>
      </c>
      <c r="BD87" s="139" t="str">
        <f>IFERROR(IF($Z87&gt;$E$12,"",IF($E$5="Uniform Inputs",INDEX($D$45:$E$53,MATCH($BB$3,$B$45:$B$53,0),MATCH(BD$4,$D$44:$E$44,0)),IF(BI87=0,"",BI87))),"")</f>
        <v/>
      </c>
      <c r="BE87" s="139" t="str">
        <f>IFERROR(IF($Z87&gt;$E$12,"",IF($E$5="Uniform Inputs",INDEX($D$45:$E$53,MATCH($BB$3,$B$45:$B$53,0),MATCH(BE$4,$D$44:$E$44,0)),IF(BJ87=0,"",BJ87))),"")</f>
        <v/>
      </c>
      <c r="BF87" s="10" t="str">
        <f t="shared" si="66"/>
        <v/>
      </c>
      <c r="BG87" s="11" t="s">
        <v>22</v>
      </c>
      <c r="BH87" s="168" t="s">
        <v>22</v>
      </c>
      <c r="BI87" s="11" t="s">
        <v>22</v>
      </c>
      <c r="BJ87" s="11" t="s">
        <v>22</v>
      </c>
      <c r="BK87" s="139" t="str">
        <f>IF($E$5="Uniform Inputs",IF($Z87&gt;$E$16,"",IF($E$23="Pro-Rata",MIN(BM87*BF87,(($I$5+'Cash Flows'!$BX$8+INDEX('Cash Flows'!$C$19:$BW$19,1,MATCH(EOMONTH(BL87,MOD(-MONTH(BL87),3)-3),'Cash Flows'!$C$4:$BW$4,0)))-SUM($BB$5,$AS$5,$AJ$5,$AA$5))/$E$16),MIN($E$27,(($I$5+'Cash Flows'!$BX$8+INDEX('Cash Flows'!$C$19:$BW$19,1,MATCH(EOMONTH(BL87,MOD(-MONTH(BL87),3)-3),'Cash Flows'!$C$4:$BW$4,0)))-SUM($BB$5,$AS$5,$AJ$5,$AA$5))/$E$16))),IF(BP87=0,"",BP87))</f>
        <v/>
      </c>
      <c r="BL87" s="112" t="str">
        <f t="shared" si="67"/>
        <v/>
      </c>
      <c r="BM87" s="139" t="str">
        <f>IFERROR(IF($Z87&gt;$E$12,"",IF($E$5="Uniform Inputs",INDEX($D$45:$E$53,MATCH($BK$3,$B$45:$B$53,0),MATCH(BM$4,$D$44:$E$44,0)),IF(BR87=0,"",BR87))),"")</f>
        <v/>
      </c>
      <c r="BN87" s="139" t="str">
        <f>IFERROR(IF($Z87&gt;$E$12,"",IF($E$5="Uniform Inputs",INDEX($D$45:$E$53,MATCH($BK$3,$B$45:$B$53,0),MATCH(BN$4,$D$44:$E$44,0)),IF(BS87=0,"",BS87))),"")</f>
        <v/>
      </c>
      <c r="BO87" s="10" t="str">
        <f t="shared" si="68"/>
        <v/>
      </c>
      <c r="BP87" s="11" t="s">
        <v>22</v>
      </c>
      <c r="BQ87" s="168" t="s">
        <v>22</v>
      </c>
      <c r="BR87" s="11" t="s">
        <v>22</v>
      </c>
      <c r="BS87" s="11" t="s">
        <v>22</v>
      </c>
      <c r="BT87" s="139" t="str">
        <f t="shared" si="85"/>
        <v/>
      </c>
      <c r="BU87" s="112" t="str">
        <f t="shared" si="69"/>
        <v/>
      </c>
      <c r="BV87" s="139" t="str">
        <f>IFERROR(IF($Z87&gt;$E$12,"",IF($E$5="Uniform Inputs",INDEX($D$45:$E$53,MATCH($BT$3,$B$45:$B$53,0),MATCH(BV$4,$D$44:$E$44,0)),IF(CA87=0,"",CA87))),"")</f>
        <v/>
      </c>
      <c r="BW87" s="139" t="str">
        <f>IFERROR(IF($Z87&gt;$E$12,"",IF($E$5="Uniform Inputs",INDEX($D$45:$E$53,MATCH($BT$3,$B$45:$B$53,0),MATCH(BW$4,$D$44:$E$44,0)),IF(CB87=0,"",CB87))),"")</f>
        <v/>
      </c>
      <c r="BX87" s="10" t="str">
        <f t="shared" si="70"/>
        <v/>
      </c>
      <c r="BY87" s="11" t="s">
        <v>22</v>
      </c>
      <c r="BZ87" s="168" t="s">
        <v>22</v>
      </c>
      <c r="CA87" s="11" t="s">
        <v>22</v>
      </c>
      <c r="CB87" s="11" t="s">
        <v>22</v>
      </c>
      <c r="CC87" s="139" t="str">
        <f t="shared" si="86"/>
        <v/>
      </c>
      <c r="CD87" s="112" t="str">
        <f t="shared" si="71"/>
        <v/>
      </c>
      <c r="CE87" s="139" t="str">
        <f>IFERROR(IF($Z87&gt;$E$12,"",IF($E$5="Uniform Inputs",INDEX($D$45:$E$53,MATCH($CC$3,$B$45:$B$53,0),MATCH(CE$4,$D$44:$E$44,0)),IF(CJ87=0,"",CJ87))),"")</f>
        <v/>
      </c>
      <c r="CF87" s="139" t="str">
        <f>IFERROR(IF($Z87&gt;$E$12,"",IF($E$5="Uniform Inputs",INDEX($D$45:$E$53,MATCH($CC$3,$B$45:$B$53,0),MATCH(CF$4,$D$44:$E$44,0)),IF(CK87=0,"",CK87))),"")</f>
        <v/>
      </c>
      <c r="CG87" s="10" t="str">
        <f t="shared" si="72"/>
        <v/>
      </c>
      <c r="CH87" s="11" t="s">
        <v>22</v>
      </c>
      <c r="CI87" s="168" t="s">
        <v>22</v>
      </c>
      <c r="CJ87" s="11" t="s">
        <v>22</v>
      </c>
      <c r="CK87" s="11" t="s">
        <v>22</v>
      </c>
      <c r="CL87" s="139" t="str">
        <f t="shared" si="87"/>
        <v/>
      </c>
      <c r="CM87" s="112" t="str">
        <f t="shared" si="73"/>
        <v/>
      </c>
      <c r="CN87" s="139" t="str">
        <f>IFERROR(IF($Z87&gt;$E$12,"",IF($E$5="Uniform Inputs",INDEX($D$45:$E$53,MATCH($CL$3,$B$45:$B$53,0),MATCH(CN$4,$D$44:$E$44,0)),IF(CS87=0,"",CS87))),"")</f>
        <v/>
      </c>
      <c r="CO87" s="139" t="str">
        <f>IFERROR(IF($Z87&gt;$E$12,"",IF($E$5="Uniform Inputs",INDEX($D$45:$E$53,MATCH($CL$3,$B$45:$B$53,0),MATCH(CO$4,$D$44:$E$44,0)),IF(CT87=0,"",CT87))),"")</f>
        <v/>
      </c>
      <c r="CP87" s="10" t="str">
        <f t="shared" si="74"/>
        <v/>
      </c>
      <c r="CQ87" s="11" t="s">
        <v>22</v>
      </c>
      <c r="CR87" s="168" t="s">
        <v>22</v>
      </c>
      <c r="CS87" s="11" t="s">
        <v>22</v>
      </c>
      <c r="CT87" s="11" t="s">
        <v>22</v>
      </c>
      <c r="CU87" s="139" t="str">
        <f t="shared" si="88"/>
        <v/>
      </c>
      <c r="CV87" s="112" t="str">
        <f t="shared" si="75"/>
        <v/>
      </c>
      <c r="CW87" s="139" t="str">
        <f>IFERROR(IF($Z87&gt;$E$12,"",IF($E$5="Uniform Inputs",INDEX($D$45:$E$53,MATCH($CU$3,$B$45:$B$53,0),MATCH(CW$4,$D$44:$E$44,0)),IF(DB87=0,"",DB87))),"")</f>
        <v/>
      </c>
      <c r="CX87" s="139" t="str">
        <f>IFERROR(IF($Z87&gt;$E$12,"",IF($E$5="Uniform Inputs",INDEX($D$45:$E$53,MATCH($CU$3,$B$45:$B$53,0),MATCH(CX$4,$D$44:$E$44,0)),IF(DC87=0,"",DC87))),"")</f>
        <v/>
      </c>
      <c r="CY87" s="10" t="str">
        <f t="shared" si="76"/>
        <v/>
      </c>
      <c r="CZ87" s="11" t="s">
        <v>22</v>
      </c>
      <c r="DA87" s="168" t="s">
        <v>22</v>
      </c>
      <c r="DB87" s="11" t="s">
        <v>22</v>
      </c>
      <c r="DC87" s="11" t="s">
        <v>22</v>
      </c>
    </row>
    <row r="88" spans="2:107" x14ac:dyDescent="0.25">
      <c r="B88" s="3" t="s">
        <v>22</v>
      </c>
      <c r="C88" s="3" t="s">
        <v>22</v>
      </c>
      <c r="D88" s="2" t="s">
        <v>22</v>
      </c>
      <c r="K88" s="6" t="str">
        <f t="shared" si="77"/>
        <v/>
      </c>
      <c r="O88" s="6" t="str">
        <f t="shared" si="78"/>
        <v/>
      </c>
      <c r="P88" s="35" t="str">
        <f t="shared" si="56"/>
        <v/>
      </c>
      <c r="Q88" s="102" t="str">
        <f t="shared" si="57"/>
        <v/>
      </c>
      <c r="R88" s="102" t="str">
        <f t="shared" ca="1" si="58"/>
        <v/>
      </c>
      <c r="S88" s="112" t="str">
        <f t="shared" si="79"/>
        <v/>
      </c>
      <c r="T88" s="112" t="str">
        <f t="shared" ca="1" si="59"/>
        <v/>
      </c>
      <c r="U88" s="1" t="str">
        <f t="shared" si="80"/>
        <v/>
      </c>
      <c r="V88" s="1" t="str">
        <f t="shared" ca="1" si="60"/>
        <v/>
      </c>
      <c r="W88" s="34" t="str">
        <f t="shared" ca="1" si="81"/>
        <v/>
      </c>
      <c r="Y88" s="2">
        <v>83</v>
      </c>
      <c r="Z88" s="6" t="str">
        <f t="shared" si="82"/>
        <v/>
      </c>
      <c r="AA88" s="139" t="str">
        <f>IF($E$5="Uniform Inputs",IF($Z88&gt;$E$12,"",MIN($E$21,($I$5+'Cash Flows'!$BX$8+INDEX('Cash Flows'!$C$19:$BW$19,1,MATCH(EOMONTH(AB88,MOD(-MONTH(AB88),3)-3),'Cash Flows'!$C$4:$BW$4,0)))/$E$12)),IF(AF88&gt;0,AF88,""))</f>
        <v/>
      </c>
      <c r="AB88" s="112" t="str">
        <f t="shared" si="83"/>
        <v/>
      </c>
      <c r="AC88" s="139" t="str">
        <f>IFERROR(IF($Z88&gt;$E$12,"",IF($E$5="Uniform Inputs",INDEX($D$45:$E$53,MATCH($AA$3,$B$45:$B$53,0),MATCH(AC$4,$D$44:$E$44,0)),IF(AH88=0,"",AH88))),"")</f>
        <v/>
      </c>
      <c r="AD88" s="139" t="str">
        <f>IFERROR(IF($Z88&gt;$E$12,"",IF($E$5="Uniform Inputs",INDEX($D$45:$E$53,MATCH($AA$3,$B$45:$B$53,0),MATCH(AD$4,$D$44:$E$44,0)),IF(AI88=0,"",AI88))),"")</f>
        <v/>
      </c>
      <c r="AE88" s="10" t="str">
        <f t="shared" si="84"/>
        <v/>
      </c>
      <c r="AF88" s="11" t="s">
        <v>22</v>
      </c>
      <c r="AG88" s="168" t="s">
        <v>22</v>
      </c>
      <c r="AH88" s="11" t="s">
        <v>22</v>
      </c>
      <c r="AI88" s="11" t="s">
        <v>22</v>
      </c>
      <c r="AJ88" s="139" t="str">
        <f>IF($E$5="Uniform Inputs",IF($Z88&gt;$E$13,"",IF($E$23="Pro-Rata",MIN(AL88*AE88,(($I$5+'Cash Flows'!$BX$8+INDEX('Cash Flows'!$C$19:$BW$19,1,MATCH(EOMONTH(AK88,MOD(-MONTH(AK88),3)-3),'Cash Flows'!$C$4:$BW$4,0)))-$AA$5)/$E$13),MIN($E$24,(($I$5+'Cash Flows'!$BX$8+INDEX('Cash Flows'!$C$19:$BW$19,1,MATCH(EOMONTH(AK88,MOD(-MONTH(AK88),3)-3),'Cash Flows'!$C$4:$BW$4,0)))-$AA$5)/$E$13))),IF(AO88=0,"",AO88))</f>
        <v/>
      </c>
      <c r="AK88" s="112" t="str">
        <f t="shared" si="61"/>
        <v/>
      </c>
      <c r="AL88" s="139" t="str">
        <f>IFERROR(IF($Z88&gt;$E$12,"",IF($E$5="Uniform Inputs",INDEX($D$45:$E$53,MATCH($AJ$3,$B$45:$B$53,0),MATCH(AL$4,$D$44:$E$44,0)),IF(AQ88=0,"",AQ88))),"")</f>
        <v/>
      </c>
      <c r="AM88" s="139" t="str">
        <f>IFERROR(IF($Z88&gt;$E$12,"",IF($E$5="Uniform Inputs",INDEX($D$45:$E$53,MATCH($AJ$3,$B$45:$B$53,0),MATCH(AM$4,$D$44:$E$44,0)),IF(AR88=0,"",AR88))),"")</f>
        <v/>
      </c>
      <c r="AN88" s="10" t="str">
        <f t="shared" si="62"/>
        <v/>
      </c>
      <c r="AO88" s="11" t="s">
        <v>22</v>
      </c>
      <c r="AP88" s="168" t="s">
        <v>22</v>
      </c>
      <c r="AQ88" s="11" t="s">
        <v>22</v>
      </c>
      <c r="AR88" s="11" t="s">
        <v>22</v>
      </c>
      <c r="AS88" s="139" t="str">
        <f>IF($E$5="Uniform Inputs",IF($Z88&gt;$E$14,"",IF($E$23="Pro-Rata",MIN(AU88*AN88,(($I$5+'Cash Flows'!$BX$8+INDEX('Cash Flows'!$C$19:$BW$19,1,MATCH(EOMONTH(AT88,MOD(-MONTH(AT88),3)-3),'Cash Flows'!$C$4:$BW$4,0)))-SUM($AJ$5,$AA$5))/$E$14),MIN($E$25,(($I$5+'Cash Flows'!$BX$8+INDEX('Cash Flows'!$C$19:$BW$19,1,MATCH(EOMONTH(AT88,MOD(-MONTH(AT88),3)-3),'Cash Flows'!$C$4:$BW$4,0)))-SUM($AJ$5,$AA$5))/$E$14))),IF(AX88=0,"",AX88))</f>
        <v/>
      </c>
      <c r="AT88" s="112" t="str">
        <f t="shared" si="63"/>
        <v/>
      </c>
      <c r="AU88" s="139" t="str">
        <f>IFERROR(IF($Z88&gt;$E$12,"",IF($E$5="Uniform Inputs",INDEX($D$45:$E$53,MATCH($AS$3,$B$45:$B$53,0),MATCH(AU$4,$D$44:$E$44,0)),IF(AZ88=0,"",AZ88))),"")</f>
        <v/>
      </c>
      <c r="AV88" s="139" t="str">
        <f>IFERROR(IF($Z88&gt;$E$12,"",IF($E$5="Uniform Inputs",INDEX($D$45:$E$53,MATCH($AS$3,$B$45:$B$53,0),MATCH(AV$4,$D$44:$E$44,0)),IF(BA88=0,"",BA88))),"")</f>
        <v/>
      </c>
      <c r="AW88" s="10" t="str">
        <f t="shared" si="64"/>
        <v/>
      </c>
      <c r="AX88" s="11" t="s">
        <v>22</v>
      </c>
      <c r="AY88" s="168" t="s">
        <v>22</v>
      </c>
      <c r="AZ88" s="11" t="s">
        <v>22</v>
      </c>
      <c r="BA88" s="11" t="s">
        <v>22</v>
      </c>
      <c r="BB88" s="139" t="str">
        <f>IF($E$5="Uniform Inputs",IF($Z88&gt;$E$15,"",IF($E$23="Pro-Rata",MIN(BD88*AW88,(($I$5+'Cash Flows'!$BX$8+INDEX('Cash Flows'!$C$19:$BW$19,1,MATCH(EOMONTH(BC88,MOD(-MONTH(BC88),3)-3),'Cash Flows'!$C$4:$BW$4,0)))-SUM($AS$5,$AJ$5,$AA$5))/$E$15),MIN($E$26,(($I$5+'Cash Flows'!$BX$8+INDEX('Cash Flows'!$C$19:$BW$19,1,MATCH(EOMONTH(BC88,MOD(-MONTH(BC88),3)-3),'Cash Flows'!$C$4:$BW$4,0)))-SUM($AS$5,$AJ$5,$AA$5))/$E$15))),IF(BG88=0,"",BG88))</f>
        <v/>
      </c>
      <c r="BC88" s="112" t="str">
        <f t="shared" si="65"/>
        <v/>
      </c>
      <c r="BD88" s="139" t="str">
        <f>IFERROR(IF($Z88&gt;$E$12,"",IF($E$5="Uniform Inputs",INDEX($D$45:$E$53,MATCH($BB$3,$B$45:$B$53,0),MATCH(BD$4,$D$44:$E$44,0)),IF(BI88=0,"",BI88))),"")</f>
        <v/>
      </c>
      <c r="BE88" s="139" t="str">
        <f>IFERROR(IF($Z88&gt;$E$12,"",IF($E$5="Uniform Inputs",INDEX($D$45:$E$53,MATCH($BB$3,$B$45:$B$53,0),MATCH(BE$4,$D$44:$E$44,0)),IF(BJ88=0,"",BJ88))),"")</f>
        <v/>
      </c>
      <c r="BF88" s="10" t="str">
        <f t="shared" si="66"/>
        <v/>
      </c>
      <c r="BG88" s="11" t="s">
        <v>22</v>
      </c>
      <c r="BH88" s="168" t="s">
        <v>22</v>
      </c>
      <c r="BI88" s="11" t="s">
        <v>22</v>
      </c>
      <c r="BJ88" s="11" t="s">
        <v>22</v>
      </c>
      <c r="BK88" s="139" t="str">
        <f>IF($E$5="Uniform Inputs",IF($Z88&gt;$E$16,"",IF($E$23="Pro-Rata",MIN(BM88*BF88,(($I$5+'Cash Flows'!$BX$8+INDEX('Cash Flows'!$C$19:$BW$19,1,MATCH(EOMONTH(BL88,MOD(-MONTH(BL88),3)-3),'Cash Flows'!$C$4:$BW$4,0)))-SUM($BB$5,$AS$5,$AJ$5,$AA$5))/$E$16),MIN($E$27,(($I$5+'Cash Flows'!$BX$8+INDEX('Cash Flows'!$C$19:$BW$19,1,MATCH(EOMONTH(BL88,MOD(-MONTH(BL88),3)-3),'Cash Flows'!$C$4:$BW$4,0)))-SUM($BB$5,$AS$5,$AJ$5,$AA$5))/$E$16))),IF(BP88=0,"",BP88))</f>
        <v/>
      </c>
      <c r="BL88" s="112" t="str">
        <f t="shared" si="67"/>
        <v/>
      </c>
      <c r="BM88" s="139" t="str">
        <f>IFERROR(IF($Z88&gt;$E$12,"",IF($E$5="Uniform Inputs",INDEX($D$45:$E$53,MATCH($BK$3,$B$45:$B$53,0),MATCH(BM$4,$D$44:$E$44,0)),IF(BR88=0,"",BR88))),"")</f>
        <v/>
      </c>
      <c r="BN88" s="139" t="str">
        <f>IFERROR(IF($Z88&gt;$E$12,"",IF($E$5="Uniform Inputs",INDEX($D$45:$E$53,MATCH($BK$3,$B$45:$B$53,0),MATCH(BN$4,$D$44:$E$44,0)),IF(BS88=0,"",BS88))),"")</f>
        <v/>
      </c>
      <c r="BO88" s="10" t="str">
        <f t="shared" si="68"/>
        <v/>
      </c>
      <c r="BP88" s="11" t="s">
        <v>22</v>
      </c>
      <c r="BQ88" s="168" t="s">
        <v>22</v>
      </c>
      <c r="BR88" s="11" t="s">
        <v>22</v>
      </c>
      <c r="BS88" s="11" t="s">
        <v>22</v>
      </c>
      <c r="BT88" s="139" t="str">
        <f t="shared" si="85"/>
        <v/>
      </c>
      <c r="BU88" s="112" t="str">
        <f t="shared" si="69"/>
        <v/>
      </c>
      <c r="BV88" s="139" t="str">
        <f>IFERROR(IF($Z88&gt;$E$12,"",IF($E$5="Uniform Inputs",INDEX($D$45:$E$53,MATCH($BT$3,$B$45:$B$53,0),MATCH(BV$4,$D$44:$E$44,0)),IF(CA88=0,"",CA88))),"")</f>
        <v/>
      </c>
      <c r="BW88" s="139" t="str">
        <f>IFERROR(IF($Z88&gt;$E$12,"",IF($E$5="Uniform Inputs",INDEX($D$45:$E$53,MATCH($BT$3,$B$45:$B$53,0),MATCH(BW$4,$D$44:$E$44,0)),IF(CB88=0,"",CB88))),"")</f>
        <v/>
      </c>
      <c r="BX88" s="10" t="str">
        <f t="shared" si="70"/>
        <v/>
      </c>
      <c r="BY88" s="11" t="s">
        <v>22</v>
      </c>
      <c r="BZ88" s="168" t="s">
        <v>22</v>
      </c>
      <c r="CA88" s="11" t="s">
        <v>22</v>
      </c>
      <c r="CB88" s="11" t="s">
        <v>22</v>
      </c>
      <c r="CC88" s="139" t="str">
        <f t="shared" si="86"/>
        <v/>
      </c>
      <c r="CD88" s="112" t="str">
        <f t="shared" si="71"/>
        <v/>
      </c>
      <c r="CE88" s="139" t="str">
        <f>IFERROR(IF($Z88&gt;$E$12,"",IF($E$5="Uniform Inputs",INDEX($D$45:$E$53,MATCH($CC$3,$B$45:$B$53,0),MATCH(CE$4,$D$44:$E$44,0)),IF(CJ88=0,"",CJ88))),"")</f>
        <v/>
      </c>
      <c r="CF88" s="139" t="str">
        <f>IFERROR(IF($Z88&gt;$E$12,"",IF($E$5="Uniform Inputs",INDEX($D$45:$E$53,MATCH($CC$3,$B$45:$B$53,0),MATCH(CF$4,$D$44:$E$44,0)),IF(CK88=0,"",CK88))),"")</f>
        <v/>
      </c>
      <c r="CG88" s="10" t="str">
        <f t="shared" si="72"/>
        <v/>
      </c>
      <c r="CH88" s="11" t="s">
        <v>22</v>
      </c>
      <c r="CI88" s="168" t="s">
        <v>22</v>
      </c>
      <c r="CJ88" s="11" t="s">
        <v>22</v>
      </c>
      <c r="CK88" s="11" t="s">
        <v>22</v>
      </c>
      <c r="CL88" s="139" t="str">
        <f t="shared" si="87"/>
        <v/>
      </c>
      <c r="CM88" s="112" t="str">
        <f t="shared" si="73"/>
        <v/>
      </c>
      <c r="CN88" s="139" t="str">
        <f>IFERROR(IF($Z88&gt;$E$12,"",IF($E$5="Uniform Inputs",INDEX($D$45:$E$53,MATCH($CL$3,$B$45:$B$53,0),MATCH(CN$4,$D$44:$E$44,0)),IF(CS88=0,"",CS88))),"")</f>
        <v/>
      </c>
      <c r="CO88" s="139" t="str">
        <f>IFERROR(IF($Z88&gt;$E$12,"",IF($E$5="Uniform Inputs",INDEX($D$45:$E$53,MATCH($CL$3,$B$45:$B$53,0),MATCH(CO$4,$D$44:$E$44,0)),IF(CT88=0,"",CT88))),"")</f>
        <v/>
      </c>
      <c r="CP88" s="10" t="str">
        <f t="shared" si="74"/>
        <v/>
      </c>
      <c r="CQ88" s="11" t="s">
        <v>22</v>
      </c>
      <c r="CR88" s="168" t="s">
        <v>22</v>
      </c>
      <c r="CS88" s="11" t="s">
        <v>22</v>
      </c>
      <c r="CT88" s="11" t="s">
        <v>22</v>
      </c>
      <c r="CU88" s="139" t="str">
        <f t="shared" si="88"/>
        <v/>
      </c>
      <c r="CV88" s="112" t="str">
        <f t="shared" si="75"/>
        <v/>
      </c>
      <c r="CW88" s="139" t="str">
        <f>IFERROR(IF($Z88&gt;$E$12,"",IF($E$5="Uniform Inputs",INDEX($D$45:$E$53,MATCH($CU$3,$B$45:$B$53,0),MATCH(CW$4,$D$44:$E$44,0)),IF(DB88=0,"",DB88))),"")</f>
        <v/>
      </c>
      <c r="CX88" s="139" t="str">
        <f>IFERROR(IF($Z88&gt;$E$12,"",IF($E$5="Uniform Inputs",INDEX($D$45:$E$53,MATCH($CU$3,$B$45:$B$53,0),MATCH(CX$4,$D$44:$E$44,0)),IF(DC88=0,"",DC88))),"")</f>
        <v/>
      </c>
      <c r="CY88" s="10" t="str">
        <f t="shared" si="76"/>
        <v/>
      </c>
      <c r="CZ88" s="11" t="s">
        <v>22</v>
      </c>
      <c r="DA88" s="168" t="s">
        <v>22</v>
      </c>
      <c r="DB88" s="11" t="s">
        <v>22</v>
      </c>
      <c r="DC88" s="11" t="s">
        <v>22</v>
      </c>
    </row>
    <row r="89" spans="2:107" x14ac:dyDescent="0.25">
      <c r="B89" s="3" t="s">
        <v>22</v>
      </c>
      <c r="C89" s="3" t="s">
        <v>22</v>
      </c>
      <c r="D89" s="2" t="s">
        <v>22</v>
      </c>
      <c r="K89" s="6" t="str">
        <f t="shared" si="77"/>
        <v/>
      </c>
      <c r="O89" s="6" t="str">
        <f t="shared" si="78"/>
        <v/>
      </c>
      <c r="P89" s="35" t="str">
        <f t="shared" si="56"/>
        <v/>
      </c>
      <c r="Q89" s="102" t="str">
        <f t="shared" si="57"/>
        <v/>
      </c>
      <c r="R89" s="102" t="str">
        <f t="shared" ca="1" si="58"/>
        <v/>
      </c>
      <c r="S89" s="112" t="str">
        <f t="shared" si="79"/>
        <v/>
      </c>
      <c r="T89" s="112" t="str">
        <f t="shared" ca="1" si="59"/>
        <v/>
      </c>
      <c r="U89" s="1" t="str">
        <f t="shared" si="80"/>
        <v/>
      </c>
      <c r="V89" s="1" t="str">
        <f t="shared" ca="1" si="60"/>
        <v/>
      </c>
      <c r="W89" s="34" t="str">
        <f t="shared" ca="1" si="81"/>
        <v/>
      </c>
      <c r="Y89" s="2">
        <v>84</v>
      </c>
      <c r="Z89" s="6" t="str">
        <f t="shared" si="82"/>
        <v/>
      </c>
      <c r="AA89" s="139" t="str">
        <f>IF($E$5="Uniform Inputs",IF($Z89&gt;$E$12,"",MIN($E$21,($I$5+'Cash Flows'!$BX$8+INDEX('Cash Flows'!$C$19:$BW$19,1,MATCH(EOMONTH(AB89,MOD(-MONTH(AB89),3)-3),'Cash Flows'!$C$4:$BW$4,0)))/$E$12)),IF(AF89&gt;0,AF89,""))</f>
        <v/>
      </c>
      <c r="AB89" s="112" t="str">
        <f t="shared" si="83"/>
        <v/>
      </c>
      <c r="AC89" s="139" t="str">
        <f>IFERROR(IF($Z89&gt;$E$12,"",IF($E$5="Uniform Inputs",INDEX($D$45:$E$53,MATCH($AA$3,$B$45:$B$53,0),MATCH(AC$4,$D$44:$E$44,0)),IF(AH89=0,"",AH89))),"")</f>
        <v/>
      </c>
      <c r="AD89" s="139" t="str">
        <f>IFERROR(IF($Z89&gt;$E$12,"",IF($E$5="Uniform Inputs",INDEX($D$45:$E$53,MATCH($AA$3,$B$45:$B$53,0),MATCH(AD$4,$D$44:$E$44,0)),IF(AI89=0,"",AI89))),"")</f>
        <v/>
      </c>
      <c r="AE89" s="10" t="str">
        <f t="shared" si="84"/>
        <v/>
      </c>
      <c r="AF89" s="11" t="s">
        <v>22</v>
      </c>
      <c r="AG89" s="168" t="s">
        <v>22</v>
      </c>
      <c r="AH89" s="11" t="s">
        <v>22</v>
      </c>
      <c r="AI89" s="11" t="s">
        <v>22</v>
      </c>
      <c r="AJ89" s="139" t="str">
        <f>IF($E$5="Uniform Inputs",IF($Z89&gt;$E$13,"",IF($E$23="Pro-Rata",MIN(AL89*AE89,(($I$5+'Cash Flows'!$BX$8+INDEX('Cash Flows'!$C$19:$BW$19,1,MATCH(EOMONTH(AK89,MOD(-MONTH(AK89),3)-3),'Cash Flows'!$C$4:$BW$4,0)))-$AA$5)/$E$13),MIN($E$24,(($I$5+'Cash Flows'!$BX$8+INDEX('Cash Flows'!$C$19:$BW$19,1,MATCH(EOMONTH(AK89,MOD(-MONTH(AK89),3)-3),'Cash Flows'!$C$4:$BW$4,0)))-$AA$5)/$E$13))),IF(AO89=0,"",AO89))</f>
        <v/>
      </c>
      <c r="AK89" s="112" t="str">
        <f t="shared" si="61"/>
        <v/>
      </c>
      <c r="AL89" s="139" t="str">
        <f>IFERROR(IF($Z89&gt;$E$12,"",IF($E$5="Uniform Inputs",INDEX($D$45:$E$53,MATCH($AJ$3,$B$45:$B$53,0),MATCH(AL$4,$D$44:$E$44,0)),IF(AQ89=0,"",AQ89))),"")</f>
        <v/>
      </c>
      <c r="AM89" s="139" t="str">
        <f>IFERROR(IF($Z89&gt;$E$12,"",IF($E$5="Uniform Inputs",INDEX($D$45:$E$53,MATCH($AJ$3,$B$45:$B$53,0),MATCH(AM$4,$D$44:$E$44,0)),IF(AR89=0,"",AR89))),"")</f>
        <v/>
      </c>
      <c r="AN89" s="10" t="str">
        <f t="shared" si="62"/>
        <v/>
      </c>
      <c r="AO89" s="11" t="s">
        <v>22</v>
      </c>
      <c r="AP89" s="168" t="s">
        <v>22</v>
      </c>
      <c r="AQ89" s="11" t="s">
        <v>22</v>
      </c>
      <c r="AR89" s="11" t="s">
        <v>22</v>
      </c>
      <c r="AS89" s="139" t="str">
        <f>IF($E$5="Uniform Inputs",IF($Z89&gt;$E$14,"",IF($E$23="Pro-Rata",MIN(AU89*AN89,(($I$5+'Cash Flows'!$BX$8+INDEX('Cash Flows'!$C$19:$BW$19,1,MATCH(EOMONTH(AT89,MOD(-MONTH(AT89),3)-3),'Cash Flows'!$C$4:$BW$4,0)))-SUM($AJ$5,$AA$5))/$E$14),MIN($E$25,(($I$5+'Cash Flows'!$BX$8+INDEX('Cash Flows'!$C$19:$BW$19,1,MATCH(EOMONTH(AT89,MOD(-MONTH(AT89),3)-3),'Cash Flows'!$C$4:$BW$4,0)))-SUM($AJ$5,$AA$5))/$E$14))),IF(AX89=0,"",AX89))</f>
        <v/>
      </c>
      <c r="AT89" s="112" t="str">
        <f t="shared" si="63"/>
        <v/>
      </c>
      <c r="AU89" s="139" t="str">
        <f>IFERROR(IF($Z89&gt;$E$12,"",IF($E$5="Uniform Inputs",INDEX($D$45:$E$53,MATCH($AS$3,$B$45:$B$53,0),MATCH(AU$4,$D$44:$E$44,0)),IF(AZ89=0,"",AZ89))),"")</f>
        <v/>
      </c>
      <c r="AV89" s="139" t="str">
        <f>IFERROR(IF($Z89&gt;$E$12,"",IF($E$5="Uniform Inputs",INDEX($D$45:$E$53,MATCH($AS$3,$B$45:$B$53,0),MATCH(AV$4,$D$44:$E$44,0)),IF(BA89=0,"",BA89))),"")</f>
        <v/>
      </c>
      <c r="AW89" s="10" t="str">
        <f t="shared" si="64"/>
        <v/>
      </c>
      <c r="AX89" s="11" t="s">
        <v>22</v>
      </c>
      <c r="AY89" s="168" t="s">
        <v>22</v>
      </c>
      <c r="AZ89" s="11" t="s">
        <v>22</v>
      </c>
      <c r="BA89" s="11" t="s">
        <v>22</v>
      </c>
      <c r="BB89" s="139" t="str">
        <f>IF($E$5="Uniform Inputs",IF($Z89&gt;$E$15,"",IF($E$23="Pro-Rata",MIN(BD89*AW89,(($I$5+'Cash Flows'!$BX$8+INDEX('Cash Flows'!$C$19:$BW$19,1,MATCH(EOMONTH(BC89,MOD(-MONTH(BC89),3)-3),'Cash Flows'!$C$4:$BW$4,0)))-SUM($AS$5,$AJ$5,$AA$5))/$E$15),MIN($E$26,(($I$5+'Cash Flows'!$BX$8+INDEX('Cash Flows'!$C$19:$BW$19,1,MATCH(EOMONTH(BC89,MOD(-MONTH(BC89),3)-3),'Cash Flows'!$C$4:$BW$4,0)))-SUM($AS$5,$AJ$5,$AA$5))/$E$15))),IF(BG89=0,"",BG89))</f>
        <v/>
      </c>
      <c r="BC89" s="112" t="str">
        <f t="shared" si="65"/>
        <v/>
      </c>
      <c r="BD89" s="139" t="str">
        <f>IFERROR(IF($Z89&gt;$E$12,"",IF($E$5="Uniform Inputs",INDEX($D$45:$E$53,MATCH($BB$3,$B$45:$B$53,0),MATCH(BD$4,$D$44:$E$44,0)),IF(BI89=0,"",BI89))),"")</f>
        <v/>
      </c>
      <c r="BE89" s="139" t="str">
        <f>IFERROR(IF($Z89&gt;$E$12,"",IF($E$5="Uniform Inputs",INDEX($D$45:$E$53,MATCH($BB$3,$B$45:$B$53,0),MATCH(BE$4,$D$44:$E$44,0)),IF(BJ89=0,"",BJ89))),"")</f>
        <v/>
      </c>
      <c r="BF89" s="10" t="str">
        <f t="shared" si="66"/>
        <v/>
      </c>
      <c r="BG89" s="11" t="s">
        <v>22</v>
      </c>
      <c r="BH89" s="168" t="s">
        <v>22</v>
      </c>
      <c r="BI89" s="11" t="s">
        <v>22</v>
      </c>
      <c r="BJ89" s="11" t="s">
        <v>22</v>
      </c>
      <c r="BK89" s="139" t="str">
        <f>IF($E$5="Uniform Inputs",IF($Z89&gt;$E$16,"",IF($E$23="Pro-Rata",MIN(BM89*BF89,(($I$5+'Cash Flows'!$BX$8+INDEX('Cash Flows'!$C$19:$BW$19,1,MATCH(EOMONTH(BL89,MOD(-MONTH(BL89),3)-3),'Cash Flows'!$C$4:$BW$4,0)))-SUM($BB$5,$AS$5,$AJ$5,$AA$5))/$E$16),MIN($E$27,(($I$5+'Cash Flows'!$BX$8+INDEX('Cash Flows'!$C$19:$BW$19,1,MATCH(EOMONTH(BL89,MOD(-MONTH(BL89),3)-3),'Cash Flows'!$C$4:$BW$4,0)))-SUM($BB$5,$AS$5,$AJ$5,$AA$5))/$E$16))),IF(BP89=0,"",BP89))</f>
        <v/>
      </c>
      <c r="BL89" s="112" t="str">
        <f t="shared" si="67"/>
        <v/>
      </c>
      <c r="BM89" s="139" t="str">
        <f>IFERROR(IF($Z89&gt;$E$12,"",IF($E$5="Uniform Inputs",INDEX($D$45:$E$53,MATCH($BK$3,$B$45:$B$53,0),MATCH(BM$4,$D$44:$E$44,0)),IF(BR89=0,"",BR89))),"")</f>
        <v/>
      </c>
      <c r="BN89" s="139" t="str">
        <f>IFERROR(IF($Z89&gt;$E$12,"",IF($E$5="Uniform Inputs",INDEX($D$45:$E$53,MATCH($BK$3,$B$45:$B$53,0),MATCH(BN$4,$D$44:$E$44,0)),IF(BS89=0,"",BS89))),"")</f>
        <v/>
      </c>
      <c r="BO89" s="10" t="str">
        <f t="shared" si="68"/>
        <v/>
      </c>
      <c r="BP89" s="11" t="s">
        <v>22</v>
      </c>
      <c r="BQ89" s="168" t="s">
        <v>22</v>
      </c>
      <c r="BR89" s="11" t="s">
        <v>22</v>
      </c>
      <c r="BS89" s="11" t="s">
        <v>22</v>
      </c>
      <c r="BT89" s="139" t="str">
        <f t="shared" si="85"/>
        <v/>
      </c>
      <c r="BU89" s="112" t="str">
        <f t="shared" si="69"/>
        <v/>
      </c>
      <c r="BV89" s="139" t="str">
        <f>IFERROR(IF($Z89&gt;$E$12,"",IF($E$5="Uniform Inputs",INDEX($D$45:$E$53,MATCH($BT$3,$B$45:$B$53,0),MATCH(BV$4,$D$44:$E$44,0)),IF(CA89=0,"",CA89))),"")</f>
        <v/>
      </c>
      <c r="BW89" s="139" t="str">
        <f>IFERROR(IF($Z89&gt;$E$12,"",IF($E$5="Uniform Inputs",INDEX($D$45:$E$53,MATCH($BT$3,$B$45:$B$53,0),MATCH(BW$4,$D$44:$E$44,0)),IF(CB89=0,"",CB89))),"")</f>
        <v/>
      </c>
      <c r="BX89" s="10" t="str">
        <f t="shared" si="70"/>
        <v/>
      </c>
      <c r="BY89" s="11" t="s">
        <v>22</v>
      </c>
      <c r="BZ89" s="168" t="s">
        <v>22</v>
      </c>
      <c r="CA89" s="11" t="s">
        <v>22</v>
      </c>
      <c r="CB89" s="11" t="s">
        <v>22</v>
      </c>
      <c r="CC89" s="139" t="str">
        <f t="shared" si="86"/>
        <v/>
      </c>
      <c r="CD89" s="112" t="str">
        <f t="shared" si="71"/>
        <v/>
      </c>
      <c r="CE89" s="139" t="str">
        <f>IFERROR(IF($Z89&gt;$E$12,"",IF($E$5="Uniform Inputs",INDEX($D$45:$E$53,MATCH($CC$3,$B$45:$B$53,0),MATCH(CE$4,$D$44:$E$44,0)),IF(CJ89=0,"",CJ89))),"")</f>
        <v/>
      </c>
      <c r="CF89" s="139" t="str">
        <f>IFERROR(IF($Z89&gt;$E$12,"",IF($E$5="Uniform Inputs",INDEX($D$45:$E$53,MATCH($CC$3,$B$45:$B$53,0),MATCH(CF$4,$D$44:$E$44,0)),IF(CK89=0,"",CK89))),"")</f>
        <v/>
      </c>
      <c r="CG89" s="10" t="str">
        <f t="shared" si="72"/>
        <v/>
      </c>
      <c r="CH89" s="11" t="s">
        <v>22</v>
      </c>
      <c r="CI89" s="168" t="s">
        <v>22</v>
      </c>
      <c r="CJ89" s="11" t="s">
        <v>22</v>
      </c>
      <c r="CK89" s="11" t="s">
        <v>22</v>
      </c>
      <c r="CL89" s="139" t="str">
        <f t="shared" si="87"/>
        <v/>
      </c>
      <c r="CM89" s="112" t="str">
        <f t="shared" si="73"/>
        <v/>
      </c>
      <c r="CN89" s="139" t="str">
        <f>IFERROR(IF($Z89&gt;$E$12,"",IF($E$5="Uniform Inputs",INDEX($D$45:$E$53,MATCH($CL$3,$B$45:$B$53,0),MATCH(CN$4,$D$44:$E$44,0)),IF(CS89=0,"",CS89))),"")</f>
        <v/>
      </c>
      <c r="CO89" s="139" t="str">
        <f>IFERROR(IF($Z89&gt;$E$12,"",IF($E$5="Uniform Inputs",INDEX($D$45:$E$53,MATCH($CL$3,$B$45:$B$53,0),MATCH(CO$4,$D$44:$E$44,0)),IF(CT89=0,"",CT89))),"")</f>
        <v/>
      </c>
      <c r="CP89" s="10" t="str">
        <f t="shared" si="74"/>
        <v/>
      </c>
      <c r="CQ89" s="11" t="s">
        <v>22</v>
      </c>
      <c r="CR89" s="168" t="s">
        <v>22</v>
      </c>
      <c r="CS89" s="11" t="s">
        <v>22</v>
      </c>
      <c r="CT89" s="11" t="s">
        <v>22</v>
      </c>
      <c r="CU89" s="139" t="str">
        <f t="shared" si="88"/>
        <v/>
      </c>
      <c r="CV89" s="112" t="str">
        <f t="shared" si="75"/>
        <v/>
      </c>
      <c r="CW89" s="139" t="str">
        <f>IFERROR(IF($Z89&gt;$E$12,"",IF($E$5="Uniform Inputs",INDEX($D$45:$E$53,MATCH($CU$3,$B$45:$B$53,0),MATCH(CW$4,$D$44:$E$44,0)),IF(DB89=0,"",DB89))),"")</f>
        <v/>
      </c>
      <c r="CX89" s="139" t="str">
        <f>IFERROR(IF($Z89&gt;$E$12,"",IF($E$5="Uniform Inputs",INDEX($D$45:$E$53,MATCH($CU$3,$B$45:$B$53,0),MATCH(CX$4,$D$44:$E$44,0)),IF(DC89=0,"",DC89))),"")</f>
        <v/>
      </c>
      <c r="CY89" s="10" t="str">
        <f t="shared" si="76"/>
        <v/>
      </c>
      <c r="CZ89" s="11" t="s">
        <v>22</v>
      </c>
      <c r="DA89" s="168" t="s">
        <v>22</v>
      </c>
      <c r="DB89" s="11" t="s">
        <v>22</v>
      </c>
      <c r="DC89" s="11" t="s">
        <v>22</v>
      </c>
    </row>
    <row r="90" spans="2:107" x14ac:dyDescent="0.25">
      <c r="B90" s="3" t="s">
        <v>22</v>
      </c>
      <c r="C90" s="3" t="s">
        <v>22</v>
      </c>
      <c r="D90" s="2" t="s">
        <v>22</v>
      </c>
      <c r="K90" s="6" t="str">
        <f t="shared" si="77"/>
        <v/>
      </c>
      <c r="O90" s="6" t="str">
        <f t="shared" si="78"/>
        <v/>
      </c>
      <c r="P90" s="35" t="str">
        <f t="shared" si="56"/>
        <v/>
      </c>
      <c r="Q90" s="102" t="str">
        <f t="shared" si="57"/>
        <v/>
      </c>
      <c r="R90" s="102" t="str">
        <f t="shared" ca="1" si="58"/>
        <v/>
      </c>
      <c r="S90" s="112" t="str">
        <f t="shared" si="79"/>
        <v/>
      </c>
      <c r="T90" s="112" t="str">
        <f t="shared" ca="1" si="59"/>
        <v/>
      </c>
      <c r="U90" s="1" t="str">
        <f t="shared" si="80"/>
        <v/>
      </c>
      <c r="V90" s="1" t="str">
        <f t="shared" ca="1" si="60"/>
        <v/>
      </c>
      <c r="W90" s="34" t="str">
        <f t="shared" ca="1" si="81"/>
        <v/>
      </c>
      <c r="Y90" s="2">
        <v>85</v>
      </c>
      <c r="Z90" s="6" t="str">
        <f t="shared" si="82"/>
        <v/>
      </c>
      <c r="AA90" s="139" t="str">
        <f>IF($E$5="Uniform Inputs",IF($Z90&gt;$E$12,"",MIN($E$21,($I$5+'Cash Flows'!$BX$8+INDEX('Cash Flows'!$C$19:$BW$19,1,MATCH(EOMONTH(AB90,MOD(-MONTH(AB90),3)-3),'Cash Flows'!$C$4:$BW$4,0)))/$E$12)),IF(AF90&gt;0,AF90,""))</f>
        <v/>
      </c>
      <c r="AB90" s="112" t="str">
        <f t="shared" si="83"/>
        <v/>
      </c>
      <c r="AC90" s="139" t="str">
        <f>IFERROR(IF($Z90&gt;$E$12,"",IF($E$5="Uniform Inputs",INDEX($D$45:$E$53,MATCH($AA$3,$B$45:$B$53,0),MATCH(AC$4,$D$44:$E$44,0)),IF(AH90=0,"",AH90))),"")</f>
        <v/>
      </c>
      <c r="AD90" s="139" t="str">
        <f>IFERROR(IF($Z90&gt;$E$12,"",IF($E$5="Uniform Inputs",INDEX($D$45:$E$53,MATCH($AA$3,$B$45:$B$53,0),MATCH(AD$4,$D$44:$E$44,0)),IF(AI90=0,"",AI90))),"")</f>
        <v/>
      </c>
      <c r="AE90" s="10" t="str">
        <f t="shared" si="84"/>
        <v/>
      </c>
      <c r="AF90" s="11" t="s">
        <v>22</v>
      </c>
      <c r="AG90" s="168" t="s">
        <v>22</v>
      </c>
      <c r="AH90" s="11" t="s">
        <v>22</v>
      </c>
      <c r="AI90" s="11" t="s">
        <v>22</v>
      </c>
      <c r="AJ90" s="139" t="str">
        <f>IF($E$5="Uniform Inputs",IF($Z90&gt;$E$13,"",IF($E$23="Pro-Rata",MIN(AL90*AE90,(($I$5+'Cash Flows'!$BX$8+INDEX('Cash Flows'!$C$19:$BW$19,1,MATCH(EOMONTH(AK90,MOD(-MONTH(AK90),3)-3),'Cash Flows'!$C$4:$BW$4,0)))-$AA$5)/$E$13),MIN($E$24,(($I$5+'Cash Flows'!$BX$8+INDEX('Cash Flows'!$C$19:$BW$19,1,MATCH(EOMONTH(AK90,MOD(-MONTH(AK90),3)-3),'Cash Flows'!$C$4:$BW$4,0)))-$AA$5)/$E$13))),IF(AO90=0,"",AO90))</f>
        <v/>
      </c>
      <c r="AK90" s="112" t="str">
        <f t="shared" si="61"/>
        <v/>
      </c>
      <c r="AL90" s="139" t="str">
        <f>IFERROR(IF($Z90&gt;$E$12,"",IF($E$5="Uniform Inputs",INDEX($D$45:$E$53,MATCH($AJ$3,$B$45:$B$53,0),MATCH(AL$4,$D$44:$E$44,0)),IF(AQ90=0,"",AQ90))),"")</f>
        <v/>
      </c>
      <c r="AM90" s="139" t="str">
        <f>IFERROR(IF($Z90&gt;$E$12,"",IF($E$5="Uniform Inputs",INDEX($D$45:$E$53,MATCH($AJ$3,$B$45:$B$53,0),MATCH(AM$4,$D$44:$E$44,0)),IF(AR90=0,"",AR90))),"")</f>
        <v/>
      </c>
      <c r="AN90" s="10" t="str">
        <f t="shared" si="62"/>
        <v/>
      </c>
      <c r="AO90" s="11" t="s">
        <v>22</v>
      </c>
      <c r="AP90" s="168" t="s">
        <v>22</v>
      </c>
      <c r="AQ90" s="11" t="s">
        <v>22</v>
      </c>
      <c r="AR90" s="11" t="s">
        <v>22</v>
      </c>
      <c r="AS90" s="139" t="str">
        <f>IF($E$5="Uniform Inputs",IF($Z90&gt;$E$14,"",IF($E$23="Pro-Rata",MIN(AU90*AN90,(($I$5+'Cash Flows'!$BX$8+INDEX('Cash Flows'!$C$19:$BW$19,1,MATCH(EOMONTH(AT90,MOD(-MONTH(AT90),3)-3),'Cash Flows'!$C$4:$BW$4,0)))-SUM($AJ$5,$AA$5))/$E$14),MIN($E$25,(($I$5+'Cash Flows'!$BX$8+INDEX('Cash Flows'!$C$19:$BW$19,1,MATCH(EOMONTH(AT90,MOD(-MONTH(AT90),3)-3),'Cash Flows'!$C$4:$BW$4,0)))-SUM($AJ$5,$AA$5))/$E$14))),IF(AX90=0,"",AX90))</f>
        <v/>
      </c>
      <c r="AT90" s="112" t="str">
        <f t="shared" si="63"/>
        <v/>
      </c>
      <c r="AU90" s="139" t="str">
        <f>IFERROR(IF($Z90&gt;$E$12,"",IF($E$5="Uniform Inputs",INDEX($D$45:$E$53,MATCH($AS$3,$B$45:$B$53,0),MATCH(AU$4,$D$44:$E$44,0)),IF(AZ90=0,"",AZ90))),"")</f>
        <v/>
      </c>
      <c r="AV90" s="139" t="str">
        <f>IFERROR(IF($Z90&gt;$E$12,"",IF($E$5="Uniform Inputs",INDEX($D$45:$E$53,MATCH($AS$3,$B$45:$B$53,0),MATCH(AV$4,$D$44:$E$44,0)),IF(BA90=0,"",BA90))),"")</f>
        <v/>
      </c>
      <c r="AW90" s="10" t="str">
        <f t="shared" si="64"/>
        <v/>
      </c>
      <c r="AX90" s="11" t="s">
        <v>22</v>
      </c>
      <c r="AY90" s="168" t="s">
        <v>22</v>
      </c>
      <c r="AZ90" s="11" t="s">
        <v>22</v>
      </c>
      <c r="BA90" s="11" t="s">
        <v>22</v>
      </c>
      <c r="BB90" s="139" t="str">
        <f>IF($E$5="Uniform Inputs",IF($Z90&gt;$E$15,"",IF($E$23="Pro-Rata",MIN(BD90*AW90,(($I$5+'Cash Flows'!$BX$8+INDEX('Cash Flows'!$C$19:$BW$19,1,MATCH(EOMONTH(BC90,MOD(-MONTH(BC90),3)-3),'Cash Flows'!$C$4:$BW$4,0)))-SUM($AS$5,$AJ$5,$AA$5))/$E$15),MIN($E$26,(($I$5+'Cash Flows'!$BX$8+INDEX('Cash Flows'!$C$19:$BW$19,1,MATCH(EOMONTH(BC90,MOD(-MONTH(BC90),3)-3),'Cash Flows'!$C$4:$BW$4,0)))-SUM($AS$5,$AJ$5,$AA$5))/$E$15))),IF(BG90=0,"",BG90))</f>
        <v/>
      </c>
      <c r="BC90" s="112" t="str">
        <f t="shared" si="65"/>
        <v/>
      </c>
      <c r="BD90" s="139" t="str">
        <f>IFERROR(IF($Z90&gt;$E$12,"",IF($E$5="Uniform Inputs",INDEX($D$45:$E$53,MATCH($BB$3,$B$45:$B$53,0),MATCH(BD$4,$D$44:$E$44,0)),IF(BI90=0,"",BI90))),"")</f>
        <v/>
      </c>
      <c r="BE90" s="139" t="str">
        <f>IFERROR(IF($Z90&gt;$E$12,"",IF($E$5="Uniform Inputs",INDEX($D$45:$E$53,MATCH($BB$3,$B$45:$B$53,0),MATCH(BE$4,$D$44:$E$44,0)),IF(BJ90=0,"",BJ90))),"")</f>
        <v/>
      </c>
      <c r="BF90" s="10" t="str">
        <f t="shared" si="66"/>
        <v/>
      </c>
      <c r="BG90" s="11" t="s">
        <v>22</v>
      </c>
      <c r="BH90" s="168" t="s">
        <v>22</v>
      </c>
      <c r="BI90" s="11" t="s">
        <v>22</v>
      </c>
      <c r="BJ90" s="11" t="s">
        <v>22</v>
      </c>
      <c r="BK90" s="139" t="str">
        <f>IF($E$5="Uniform Inputs",IF($Z90&gt;$E$16,"",IF($E$23="Pro-Rata",MIN(BM90*BF90,(($I$5+'Cash Flows'!$BX$8+INDEX('Cash Flows'!$C$19:$BW$19,1,MATCH(EOMONTH(BL90,MOD(-MONTH(BL90),3)-3),'Cash Flows'!$C$4:$BW$4,0)))-SUM($BB$5,$AS$5,$AJ$5,$AA$5))/$E$16),MIN($E$27,(($I$5+'Cash Flows'!$BX$8+INDEX('Cash Flows'!$C$19:$BW$19,1,MATCH(EOMONTH(BL90,MOD(-MONTH(BL90),3)-3),'Cash Flows'!$C$4:$BW$4,0)))-SUM($BB$5,$AS$5,$AJ$5,$AA$5))/$E$16))),IF(BP90=0,"",BP90))</f>
        <v/>
      </c>
      <c r="BL90" s="112" t="str">
        <f t="shared" si="67"/>
        <v/>
      </c>
      <c r="BM90" s="139" t="str">
        <f>IFERROR(IF($Z90&gt;$E$12,"",IF($E$5="Uniform Inputs",INDEX($D$45:$E$53,MATCH($BK$3,$B$45:$B$53,0),MATCH(BM$4,$D$44:$E$44,0)),IF(BR90=0,"",BR90))),"")</f>
        <v/>
      </c>
      <c r="BN90" s="139" t="str">
        <f>IFERROR(IF($Z90&gt;$E$12,"",IF($E$5="Uniform Inputs",INDEX($D$45:$E$53,MATCH($BK$3,$B$45:$B$53,0),MATCH(BN$4,$D$44:$E$44,0)),IF(BS90=0,"",BS90))),"")</f>
        <v/>
      </c>
      <c r="BO90" s="10" t="str">
        <f t="shared" si="68"/>
        <v/>
      </c>
      <c r="BP90" s="11" t="s">
        <v>22</v>
      </c>
      <c r="BQ90" s="168" t="s">
        <v>22</v>
      </c>
      <c r="BR90" s="11" t="s">
        <v>22</v>
      </c>
      <c r="BS90" s="11" t="s">
        <v>22</v>
      </c>
      <c r="BT90" s="139" t="str">
        <f t="shared" si="85"/>
        <v/>
      </c>
      <c r="BU90" s="112" t="str">
        <f t="shared" si="69"/>
        <v/>
      </c>
      <c r="BV90" s="139" t="str">
        <f>IFERROR(IF($Z90&gt;$E$12,"",IF($E$5="Uniform Inputs",INDEX($D$45:$E$53,MATCH($BT$3,$B$45:$B$53,0),MATCH(BV$4,$D$44:$E$44,0)),IF(CA90=0,"",CA90))),"")</f>
        <v/>
      </c>
      <c r="BW90" s="139" t="str">
        <f>IFERROR(IF($Z90&gt;$E$12,"",IF($E$5="Uniform Inputs",INDEX($D$45:$E$53,MATCH($BT$3,$B$45:$B$53,0),MATCH(BW$4,$D$44:$E$44,0)),IF(CB90=0,"",CB90))),"")</f>
        <v/>
      </c>
      <c r="BX90" s="10" t="str">
        <f t="shared" si="70"/>
        <v/>
      </c>
      <c r="BY90" s="11" t="s">
        <v>22</v>
      </c>
      <c r="BZ90" s="168" t="s">
        <v>22</v>
      </c>
      <c r="CA90" s="11" t="s">
        <v>22</v>
      </c>
      <c r="CB90" s="11" t="s">
        <v>22</v>
      </c>
      <c r="CC90" s="139" t="str">
        <f t="shared" si="86"/>
        <v/>
      </c>
      <c r="CD90" s="112" t="str">
        <f t="shared" si="71"/>
        <v/>
      </c>
      <c r="CE90" s="139" t="str">
        <f>IFERROR(IF($Z90&gt;$E$12,"",IF($E$5="Uniform Inputs",INDEX($D$45:$E$53,MATCH($CC$3,$B$45:$B$53,0),MATCH(CE$4,$D$44:$E$44,0)),IF(CJ90=0,"",CJ90))),"")</f>
        <v/>
      </c>
      <c r="CF90" s="139" t="str">
        <f>IFERROR(IF($Z90&gt;$E$12,"",IF($E$5="Uniform Inputs",INDEX($D$45:$E$53,MATCH($CC$3,$B$45:$B$53,0),MATCH(CF$4,$D$44:$E$44,0)),IF(CK90=0,"",CK90))),"")</f>
        <v/>
      </c>
      <c r="CG90" s="10" t="str">
        <f t="shared" si="72"/>
        <v/>
      </c>
      <c r="CH90" s="11" t="s">
        <v>22</v>
      </c>
      <c r="CI90" s="168" t="s">
        <v>22</v>
      </c>
      <c r="CJ90" s="11" t="s">
        <v>22</v>
      </c>
      <c r="CK90" s="11" t="s">
        <v>22</v>
      </c>
      <c r="CL90" s="139" t="str">
        <f t="shared" si="87"/>
        <v/>
      </c>
      <c r="CM90" s="112" t="str">
        <f t="shared" si="73"/>
        <v/>
      </c>
      <c r="CN90" s="139" t="str">
        <f>IFERROR(IF($Z90&gt;$E$12,"",IF($E$5="Uniform Inputs",INDEX($D$45:$E$53,MATCH($CL$3,$B$45:$B$53,0),MATCH(CN$4,$D$44:$E$44,0)),IF(CS90=0,"",CS90))),"")</f>
        <v/>
      </c>
      <c r="CO90" s="139" t="str">
        <f>IFERROR(IF($Z90&gt;$E$12,"",IF($E$5="Uniform Inputs",INDEX($D$45:$E$53,MATCH($CL$3,$B$45:$B$53,0),MATCH(CO$4,$D$44:$E$44,0)),IF(CT90=0,"",CT90))),"")</f>
        <v/>
      </c>
      <c r="CP90" s="10" t="str">
        <f t="shared" si="74"/>
        <v/>
      </c>
      <c r="CQ90" s="11" t="s">
        <v>22</v>
      </c>
      <c r="CR90" s="168" t="s">
        <v>22</v>
      </c>
      <c r="CS90" s="11" t="s">
        <v>22</v>
      </c>
      <c r="CT90" s="11" t="s">
        <v>22</v>
      </c>
      <c r="CU90" s="139" t="str">
        <f t="shared" si="88"/>
        <v/>
      </c>
      <c r="CV90" s="112" t="str">
        <f t="shared" si="75"/>
        <v/>
      </c>
      <c r="CW90" s="139" t="str">
        <f>IFERROR(IF($Z90&gt;$E$12,"",IF($E$5="Uniform Inputs",INDEX($D$45:$E$53,MATCH($CU$3,$B$45:$B$53,0),MATCH(CW$4,$D$44:$E$44,0)),IF(DB90=0,"",DB90))),"")</f>
        <v/>
      </c>
      <c r="CX90" s="139" t="str">
        <f>IFERROR(IF($Z90&gt;$E$12,"",IF($E$5="Uniform Inputs",INDEX($D$45:$E$53,MATCH($CU$3,$B$45:$B$53,0),MATCH(CX$4,$D$44:$E$44,0)),IF(DC90=0,"",DC90))),"")</f>
        <v/>
      </c>
      <c r="CY90" s="10" t="str">
        <f t="shared" si="76"/>
        <v/>
      </c>
      <c r="CZ90" s="11" t="s">
        <v>22</v>
      </c>
      <c r="DA90" s="168" t="s">
        <v>22</v>
      </c>
      <c r="DB90" s="11" t="s">
        <v>22</v>
      </c>
      <c r="DC90" s="11" t="s">
        <v>22</v>
      </c>
    </row>
    <row r="91" spans="2:107" x14ac:dyDescent="0.25">
      <c r="B91" s="3" t="s">
        <v>22</v>
      </c>
      <c r="C91" s="3" t="s">
        <v>22</v>
      </c>
      <c r="D91" s="2" t="s">
        <v>22</v>
      </c>
      <c r="K91" s="6" t="str">
        <f t="shared" si="77"/>
        <v/>
      </c>
      <c r="O91" s="6" t="str">
        <f t="shared" si="78"/>
        <v/>
      </c>
      <c r="P91" s="35" t="str">
        <f t="shared" si="56"/>
        <v/>
      </c>
      <c r="Q91" s="102" t="str">
        <f t="shared" si="57"/>
        <v/>
      </c>
      <c r="R91" s="102" t="str">
        <f t="shared" ca="1" si="58"/>
        <v/>
      </c>
      <c r="S91" s="112" t="str">
        <f t="shared" si="79"/>
        <v/>
      </c>
      <c r="T91" s="112" t="str">
        <f t="shared" ca="1" si="59"/>
        <v/>
      </c>
      <c r="U91" s="1" t="str">
        <f t="shared" si="80"/>
        <v/>
      </c>
      <c r="V91" s="1" t="str">
        <f t="shared" ca="1" si="60"/>
        <v/>
      </c>
      <c r="W91" s="34" t="str">
        <f t="shared" ca="1" si="81"/>
        <v/>
      </c>
      <c r="Y91" s="2">
        <v>86</v>
      </c>
      <c r="Z91" s="6" t="str">
        <f t="shared" si="82"/>
        <v/>
      </c>
      <c r="AA91" s="139" t="str">
        <f>IF($E$5="Uniform Inputs",IF($Z91&gt;$E$12,"",MIN($E$21,($I$5+'Cash Flows'!$BX$8+INDEX('Cash Flows'!$C$19:$BW$19,1,MATCH(EOMONTH(AB91,MOD(-MONTH(AB91),3)-3),'Cash Flows'!$C$4:$BW$4,0)))/$E$12)),IF(AF91&gt;0,AF91,""))</f>
        <v/>
      </c>
      <c r="AB91" s="112" t="str">
        <f t="shared" si="83"/>
        <v/>
      </c>
      <c r="AC91" s="139" t="str">
        <f>IFERROR(IF($Z91&gt;$E$12,"",IF($E$5="Uniform Inputs",INDEX($D$45:$E$53,MATCH($AA$3,$B$45:$B$53,0),MATCH(AC$4,$D$44:$E$44,0)),IF(AH91=0,"",AH91))),"")</f>
        <v/>
      </c>
      <c r="AD91" s="139" t="str">
        <f>IFERROR(IF($Z91&gt;$E$12,"",IF($E$5="Uniform Inputs",INDEX($D$45:$E$53,MATCH($AA$3,$B$45:$B$53,0),MATCH(AD$4,$D$44:$E$44,0)),IF(AI91=0,"",AI91))),"")</f>
        <v/>
      </c>
      <c r="AE91" s="10" t="str">
        <f t="shared" si="84"/>
        <v/>
      </c>
      <c r="AF91" s="11" t="s">
        <v>22</v>
      </c>
      <c r="AG91" s="168" t="s">
        <v>22</v>
      </c>
      <c r="AH91" s="11" t="s">
        <v>22</v>
      </c>
      <c r="AI91" s="11" t="s">
        <v>22</v>
      </c>
      <c r="AJ91" s="139" t="str">
        <f>IF($E$5="Uniform Inputs",IF($Z91&gt;$E$13,"",IF($E$23="Pro-Rata",MIN(AL91*AE91,(($I$5+'Cash Flows'!$BX$8+INDEX('Cash Flows'!$C$19:$BW$19,1,MATCH(EOMONTH(AK91,MOD(-MONTH(AK91),3)-3),'Cash Flows'!$C$4:$BW$4,0)))-$AA$5)/$E$13),MIN($E$24,(($I$5+'Cash Flows'!$BX$8+INDEX('Cash Flows'!$C$19:$BW$19,1,MATCH(EOMONTH(AK91,MOD(-MONTH(AK91),3)-3),'Cash Flows'!$C$4:$BW$4,0)))-$AA$5)/$E$13))),IF(AO91=0,"",AO91))</f>
        <v/>
      </c>
      <c r="AK91" s="112" t="str">
        <f t="shared" si="61"/>
        <v/>
      </c>
      <c r="AL91" s="139" t="str">
        <f>IFERROR(IF($Z91&gt;$E$12,"",IF($E$5="Uniform Inputs",INDEX($D$45:$E$53,MATCH($AJ$3,$B$45:$B$53,0),MATCH(AL$4,$D$44:$E$44,0)),IF(AQ91=0,"",AQ91))),"")</f>
        <v/>
      </c>
      <c r="AM91" s="139" t="str">
        <f>IFERROR(IF($Z91&gt;$E$12,"",IF($E$5="Uniform Inputs",INDEX($D$45:$E$53,MATCH($AJ$3,$B$45:$B$53,0),MATCH(AM$4,$D$44:$E$44,0)),IF(AR91=0,"",AR91))),"")</f>
        <v/>
      </c>
      <c r="AN91" s="10" t="str">
        <f t="shared" si="62"/>
        <v/>
      </c>
      <c r="AO91" s="11" t="s">
        <v>22</v>
      </c>
      <c r="AP91" s="168" t="s">
        <v>22</v>
      </c>
      <c r="AQ91" s="11" t="s">
        <v>22</v>
      </c>
      <c r="AR91" s="11" t="s">
        <v>22</v>
      </c>
      <c r="AS91" s="139" t="str">
        <f>IF($E$5="Uniform Inputs",IF($Z91&gt;$E$14,"",IF($E$23="Pro-Rata",MIN(AU91*AN91,(($I$5+'Cash Flows'!$BX$8+INDEX('Cash Flows'!$C$19:$BW$19,1,MATCH(EOMONTH(AT91,MOD(-MONTH(AT91),3)-3),'Cash Flows'!$C$4:$BW$4,0)))-SUM($AJ$5,$AA$5))/$E$14),MIN($E$25,(($I$5+'Cash Flows'!$BX$8+INDEX('Cash Flows'!$C$19:$BW$19,1,MATCH(EOMONTH(AT91,MOD(-MONTH(AT91),3)-3),'Cash Flows'!$C$4:$BW$4,0)))-SUM($AJ$5,$AA$5))/$E$14))),IF(AX91=0,"",AX91))</f>
        <v/>
      </c>
      <c r="AT91" s="112" t="str">
        <f t="shared" si="63"/>
        <v/>
      </c>
      <c r="AU91" s="139" t="str">
        <f>IFERROR(IF($Z91&gt;$E$12,"",IF($E$5="Uniform Inputs",INDEX($D$45:$E$53,MATCH($AS$3,$B$45:$B$53,0),MATCH(AU$4,$D$44:$E$44,0)),IF(AZ91=0,"",AZ91))),"")</f>
        <v/>
      </c>
      <c r="AV91" s="139" t="str">
        <f>IFERROR(IF($Z91&gt;$E$12,"",IF($E$5="Uniform Inputs",INDEX($D$45:$E$53,MATCH($AS$3,$B$45:$B$53,0),MATCH(AV$4,$D$44:$E$44,0)),IF(BA91=0,"",BA91))),"")</f>
        <v/>
      </c>
      <c r="AW91" s="10" t="str">
        <f t="shared" si="64"/>
        <v/>
      </c>
      <c r="AX91" s="11" t="s">
        <v>22</v>
      </c>
      <c r="AY91" s="168" t="s">
        <v>22</v>
      </c>
      <c r="AZ91" s="11" t="s">
        <v>22</v>
      </c>
      <c r="BA91" s="11" t="s">
        <v>22</v>
      </c>
      <c r="BB91" s="139" t="str">
        <f>IF($E$5="Uniform Inputs",IF($Z91&gt;$E$15,"",IF($E$23="Pro-Rata",MIN(BD91*AW91,(($I$5+'Cash Flows'!$BX$8+INDEX('Cash Flows'!$C$19:$BW$19,1,MATCH(EOMONTH(BC91,MOD(-MONTH(BC91),3)-3),'Cash Flows'!$C$4:$BW$4,0)))-SUM($AS$5,$AJ$5,$AA$5))/$E$15),MIN($E$26,(($I$5+'Cash Flows'!$BX$8+INDEX('Cash Flows'!$C$19:$BW$19,1,MATCH(EOMONTH(BC91,MOD(-MONTH(BC91),3)-3),'Cash Flows'!$C$4:$BW$4,0)))-SUM($AS$5,$AJ$5,$AA$5))/$E$15))),IF(BG91=0,"",BG91))</f>
        <v/>
      </c>
      <c r="BC91" s="112" t="str">
        <f t="shared" si="65"/>
        <v/>
      </c>
      <c r="BD91" s="139" t="str">
        <f>IFERROR(IF($Z91&gt;$E$12,"",IF($E$5="Uniform Inputs",INDEX($D$45:$E$53,MATCH($BB$3,$B$45:$B$53,0),MATCH(BD$4,$D$44:$E$44,0)),IF(BI91=0,"",BI91))),"")</f>
        <v/>
      </c>
      <c r="BE91" s="139" t="str">
        <f>IFERROR(IF($Z91&gt;$E$12,"",IF($E$5="Uniform Inputs",INDEX($D$45:$E$53,MATCH($BB$3,$B$45:$B$53,0),MATCH(BE$4,$D$44:$E$44,0)),IF(BJ91=0,"",BJ91))),"")</f>
        <v/>
      </c>
      <c r="BF91" s="10" t="str">
        <f t="shared" si="66"/>
        <v/>
      </c>
      <c r="BG91" s="11" t="s">
        <v>22</v>
      </c>
      <c r="BH91" s="168" t="s">
        <v>22</v>
      </c>
      <c r="BI91" s="11" t="s">
        <v>22</v>
      </c>
      <c r="BJ91" s="11" t="s">
        <v>22</v>
      </c>
      <c r="BK91" s="139" t="str">
        <f>IF($E$5="Uniform Inputs",IF($Z91&gt;$E$16,"",IF($E$23="Pro-Rata",MIN(BM91*BF91,(($I$5+'Cash Flows'!$BX$8+INDEX('Cash Flows'!$C$19:$BW$19,1,MATCH(EOMONTH(BL91,MOD(-MONTH(BL91),3)-3),'Cash Flows'!$C$4:$BW$4,0)))-SUM($BB$5,$AS$5,$AJ$5,$AA$5))/$E$16),MIN($E$27,(($I$5+'Cash Flows'!$BX$8+INDEX('Cash Flows'!$C$19:$BW$19,1,MATCH(EOMONTH(BL91,MOD(-MONTH(BL91),3)-3),'Cash Flows'!$C$4:$BW$4,0)))-SUM($BB$5,$AS$5,$AJ$5,$AA$5))/$E$16))),IF(BP91=0,"",BP91))</f>
        <v/>
      </c>
      <c r="BL91" s="112" t="str">
        <f t="shared" si="67"/>
        <v/>
      </c>
      <c r="BM91" s="139" t="str">
        <f>IFERROR(IF($Z91&gt;$E$12,"",IF($E$5="Uniform Inputs",INDEX($D$45:$E$53,MATCH($BK$3,$B$45:$B$53,0),MATCH(BM$4,$D$44:$E$44,0)),IF(BR91=0,"",BR91))),"")</f>
        <v/>
      </c>
      <c r="BN91" s="139" t="str">
        <f>IFERROR(IF($Z91&gt;$E$12,"",IF($E$5="Uniform Inputs",INDEX($D$45:$E$53,MATCH($BK$3,$B$45:$B$53,0),MATCH(BN$4,$D$44:$E$44,0)),IF(BS91=0,"",BS91))),"")</f>
        <v/>
      </c>
      <c r="BO91" s="10" t="str">
        <f t="shared" si="68"/>
        <v/>
      </c>
      <c r="BP91" s="11" t="s">
        <v>22</v>
      </c>
      <c r="BQ91" s="168" t="s">
        <v>22</v>
      </c>
      <c r="BR91" s="11" t="s">
        <v>22</v>
      </c>
      <c r="BS91" s="11" t="s">
        <v>22</v>
      </c>
      <c r="BT91" s="139" t="str">
        <f t="shared" si="85"/>
        <v/>
      </c>
      <c r="BU91" s="112" t="str">
        <f t="shared" si="69"/>
        <v/>
      </c>
      <c r="BV91" s="139" t="str">
        <f>IFERROR(IF($Z91&gt;$E$12,"",IF($E$5="Uniform Inputs",INDEX($D$45:$E$53,MATCH($BT$3,$B$45:$B$53,0),MATCH(BV$4,$D$44:$E$44,0)),IF(CA91=0,"",CA91))),"")</f>
        <v/>
      </c>
      <c r="BW91" s="139" t="str">
        <f>IFERROR(IF($Z91&gt;$E$12,"",IF($E$5="Uniform Inputs",INDEX($D$45:$E$53,MATCH($BT$3,$B$45:$B$53,0),MATCH(BW$4,$D$44:$E$44,0)),IF(CB91=0,"",CB91))),"")</f>
        <v/>
      </c>
      <c r="BX91" s="10" t="str">
        <f t="shared" si="70"/>
        <v/>
      </c>
      <c r="BY91" s="11" t="s">
        <v>22</v>
      </c>
      <c r="BZ91" s="168" t="s">
        <v>22</v>
      </c>
      <c r="CA91" s="11" t="s">
        <v>22</v>
      </c>
      <c r="CB91" s="11" t="s">
        <v>22</v>
      </c>
      <c r="CC91" s="139" t="str">
        <f t="shared" si="86"/>
        <v/>
      </c>
      <c r="CD91" s="112" t="str">
        <f t="shared" si="71"/>
        <v/>
      </c>
      <c r="CE91" s="139" t="str">
        <f>IFERROR(IF($Z91&gt;$E$12,"",IF($E$5="Uniform Inputs",INDEX($D$45:$E$53,MATCH($CC$3,$B$45:$B$53,0),MATCH(CE$4,$D$44:$E$44,0)),IF(CJ91=0,"",CJ91))),"")</f>
        <v/>
      </c>
      <c r="CF91" s="139" t="str">
        <f>IFERROR(IF($Z91&gt;$E$12,"",IF($E$5="Uniform Inputs",INDEX($D$45:$E$53,MATCH($CC$3,$B$45:$B$53,0),MATCH(CF$4,$D$44:$E$44,0)),IF(CK91=0,"",CK91))),"")</f>
        <v/>
      </c>
      <c r="CG91" s="10" t="str">
        <f t="shared" si="72"/>
        <v/>
      </c>
      <c r="CH91" s="11" t="s">
        <v>22</v>
      </c>
      <c r="CI91" s="168" t="s">
        <v>22</v>
      </c>
      <c r="CJ91" s="11" t="s">
        <v>22</v>
      </c>
      <c r="CK91" s="11" t="s">
        <v>22</v>
      </c>
      <c r="CL91" s="139" t="str">
        <f t="shared" si="87"/>
        <v/>
      </c>
      <c r="CM91" s="112" t="str">
        <f t="shared" si="73"/>
        <v/>
      </c>
      <c r="CN91" s="139" t="str">
        <f>IFERROR(IF($Z91&gt;$E$12,"",IF($E$5="Uniform Inputs",INDEX($D$45:$E$53,MATCH($CL$3,$B$45:$B$53,0),MATCH(CN$4,$D$44:$E$44,0)),IF(CS91=0,"",CS91))),"")</f>
        <v/>
      </c>
      <c r="CO91" s="139" t="str">
        <f>IFERROR(IF($Z91&gt;$E$12,"",IF($E$5="Uniform Inputs",INDEX($D$45:$E$53,MATCH($CL$3,$B$45:$B$53,0),MATCH(CO$4,$D$44:$E$44,0)),IF(CT91=0,"",CT91))),"")</f>
        <v/>
      </c>
      <c r="CP91" s="10" t="str">
        <f t="shared" si="74"/>
        <v/>
      </c>
      <c r="CQ91" s="11" t="s">
        <v>22</v>
      </c>
      <c r="CR91" s="168" t="s">
        <v>22</v>
      </c>
      <c r="CS91" s="11" t="s">
        <v>22</v>
      </c>
      <c r="CT91" s="11" t="s">
        <v>22</v>
      </c>
      <c r="CU91" s="139" t="str">
        <f t="shared" si="88"/>
        <v/>
      </c>
      <c r="CV91" s="112" t="str">
        <f t="shared" si="75"/>
        <v/>
      </c>
      <c r="CW91" s="139" t="str">
        <f>IFERROR(IF($Z91&gt;$E$12,"",IF($E$5="Uniform Inputs",INDEX($D$45:$E$53,MATCH($CU$3,$B$45:$B$53,0),MATCH(CW$4,$D$44:$E$44,0)),IF(DB91=0,"",DB91))),"")</f>
        <v/>
      </c>
      <c r="CX91" s="139" t="str">
        <f>IFERROR(IF($Z91&gt;$E$12,"",IF($E$5="Uniform Inputs",INDEX($D$45:$E$53,MATCH($CU$3,$B$45:$B$53,0),MATCH(CX$4,$D$44:$E$44,0)),IF(DC91=0,"",DC91))),"")</f>
        <v/>
      </c>
      <c r="CY91" s="10" t="str">
        <f t="shared" si="76"/>
        <v/>
      </c>
      <c r="CZ91" s="11" t="s">
        <v>22</v>
      </c>
      <c r="DA91" s="168" t="s">
        <v>22</v>
      </c>
      <c r="DB91" s="11" t="s">
        <v>22</v>
      </c>
      <c r="DC91" s="11" t="s">
        <v>22</v>
      </c>
    </row>
    <row r="92" spans="2:107" x14ac:dyDescent="0.25">
      <c r="B92" s="3" t="s">
        <v>22</v>
      </c>
      <c r="C92" s="3" t="s">
        <v>22</v>
      </c>
      <c r="D92" s="2" t="s">
        <v>22</v>
      </c>
      <c r="K92" s="6" t="str">
        <f t="shared" si="77"/>
        <v/>
      </c>
      <c r="O92" s="6" t="str">
        <f t="shared" si="78"/>
        <v/>
      </c>
      <c r="P92" s="35" t="str">
        <f t="shared" si="56"/>
        <v/>
      </c>
      <c r="Q92" s="102" t="str">
        <f t="shared" si="57"/>
        <v/>
      </c>
      <c r="R92" s="102" t="str">
        <f t="shared" ca="1" si="58"/>
        <v/>
      </c>
      <c r="S92" s="112" t="str">
        <f t="shared" si="79"/>
        <v/>
      </c>
      <c r="T92" s="112" t="str">
        <f t="shared" ca="1" si="59"/>
        <v/>
      </c>
      <c r="U92" s="1" t="str">
        <f t="shared" si="80"/>
        <v/>
      </c>
      <c r="V92" s="1" t="str">
        <f t="shared" ca="1" si="60"/>
        <v/>
      </c>
      <c r="W92" s="34" t="str">
        <f t="shared" ca="1" si="81"/>
        <v/>
      </c>
      <c r="Y92" s="2">
        <v>87</v>
      </c>
      <c r="Z92" s="6" t="str">
        <f t="shared" si="82"/>
        <v/>
      </c>
      <c r="AA92" s="139" t="str">
        <f>IF($E$5="Uniform Inputs",IF($Z92&gt;$E$12,"",MIN($E$21,($I$5+'Cash Flows'!$BX$8+INDEX('Cash Flows'!$C$19:$BW$19,1,MATCH(EOMONTH(AB92,MOD(-MONTH(AB92),3)-3),'Cash Flows'!$C$4:$BW$4,0)))/$E$12)),IF(AF92&gt;0,AF92,""))</f>
        <v/>
      </c>
      <c r="AB92" s="112" t="str">
        <f t="shared" si="83"/>
        <v/>
      </c>
      <c r="AC92" s="139" t="str">
        <f>IFERROR(IF($Z92&gt;$E$12,"",IF($E$5="Uniform Inputs",INDEX($D$45:$E$53,MATCH($AA$3,$B$45:$B$53,0),MATCH(AC$4,$D$44:$E$44,0)),IF(AH92=0,"",AH92))),"")</f>
        <v/>
      </c>
      <c r="AD92" s="139" t="str">
        <f>IFERROR(IF($Z92&gt;$E$12,"",IF($E$5="Uniform Inputs",INDEX($D$45:$E$53,MATCH($AA$3,$B$45:$B$53,0),MATCH(AD$4,$D$44:$E$44,0)),IF(AI92=0,"",AI92))),"")</f>
        <v/>
      </c>
      <c r="AE92" s="10" t="str">
        <f t="shared" si="84"/>
        <v/>
      </c>
      <c r="AF92" s="11" t="s">
        <v>22</v>
      </c>
      <c r="AG92" s="168" t="s">
        <v>22</v>
      </c>
      <c r="AH92" s="11" t="s">
        <v>22</v>
      </c>
      <c r="AI92" s="11" t="s">
        <v>22</v>
      </c>
      <c r="AJ92" s="139" t="str">
        <f>IF($E$5="Uniform Inputs",IF($Z92&gt;$E$13,"",IF($E$23="Pro-Rata",MIN(AL92*AE92,(($I$5+'Cash Flows'!$BX$8+INDEX('Cash Flows'!$C$19:$BW$19,1,MATCH(EOMONTH(AK92,MOD(-MONTH(AK92),3)-3),'Cash Flows'!$C$4:$BW$4,0)))-$AA$5)/$E$13),MIN($E$24,(($I$5+'Cash Flows'!$BX$8+INDEX('Cash Flows'!$C$19:$BW$19,1,MATCH(EOMONTH(AK92,MOD(-MONTH(AK92),3)-3),'Cash Flows'!$C$4:$BW$4,0)))-$AA$5)/$E$13))),IF(AO92=0,"",AO92))</f>
        <v/>
      </c>
      <c r="AK92" s="112" t="str">
        <f t="shared" si="61"/>
        <v/>
      </c>
      <c r="AL92" s="139" t="str">
        <f>IFERROR(IF($Z92&gt;$E$12,"",IF($E$5="Uniform Inputs",INDEX($D$45:$E$53,MATCH($AJ$3,$B$45:$B$53,0),MATCH(AL$4,$D$44:$E$44,0)),IF(AQ92=0,"",AQ92))),"")</f>
        <v/>
      </c>
      <c r="AM92" s="139" t="str">
        <f>IFERROR(IF($Z92&gt;$E$12,"",IF($E$5="Uniform Inputs",INDEX($D$45:$E$53,MATCH($AJ$3,$B$45:$B$53,0),MATCH(AM$4,$D$44:$E$44,0)),IF(AR92=0,"",AR92))),"")</f>
        <v/>
      </c>
      <c r="AN92" s="10" t="str">
        <f t="shared" si="62"/>
        <v/>
      </c>
      <c r="AO92" s="11" t="s">
        <v>22</v>
      </c>
      <c r="AP92" s="168" t="s">
        <v>22</v>
      </c>
      <c r="AQ92" s="11" t="s">
        <v>22</v>
      </c>
      <c r="AR92" s="11" t="s">
        <v>22</v>
      </c>
      <c r="AS92" s="139" t="str">
        <f>IF($E$5="Uniform Inputs",IF($Z92&gt;$E$14,"",IF($E$23="Pro-Rata",MIN(AU92*AN92,(($I$5+'Cash Flows'!$BX$8+INDEX('Cash Flows'!$C$19:$BW$19,1,MATCH(EOMONTH(AT92,MOD(-MONTH(AT92),3)-3),'Cash Flows'!$C$4:$BW$4,0)))-SUM($AJ$5,$AA$5))/$E$14),MIN($E$25,(($I$5+'Cash Flows'!$BX$8+INDEX('Cash Flows'!$C$19:$BW$19,1,MATCH(EOMONTH(AT92,MOD(-MONTH(AT92),3)-3),'Cash Flows'!$C$4:$BW$4,0)))-SUM($AJ$5,$AA$5))/$E$14))),IF(AX92=0,"",AX92))</f>
        <v/>
      </c>
      <c r="AT92" s="112" t="str">
        <f t="shared" si="63"/>
        <v/>
      </c>
      <c r="AU92" s="139" t="str">
        <f>IFERROR(IF($Z92&gt;$E$12,"",IF($E$5="Uniform Inputs",INDEX($D$45:$E$53,MATCH($AS$3,$B$45:$B$53,0),MATCH(AU$4,$D$44:$E$44,0)),IF(AZ92=0,"",AZ92))),"")</f>
        <v/>
      </c>
      <c r="AV92" s="139" t="str">
        <f>IFERROR(IF($Z92&gt;$E$12,"",IF($E$5="Uniform Inputs",INDEX($D$45:$E$53,MATCH($AS$3,$B$45:$B$53,0),MATCH(AV$4,$D$44:$E$44,0)),IF(BA92=0,"",BA92))),"")</f>
        <v/>
      </c>
      <c r="AW92" s="10" t="str">
        <f t="shared" si="64"/>
        <v/>
      </c>
      <c r="AX92" s="11" t="s">
        <v>22</v>
      </c>
      <c r="AY92" s="168" t="s">
        <v>22</v>
      </c>
      <c r="AZ92" s="11" t="s">
        <v>22</v>
      </c>
      <c r="BA92" s="11" t="s">
        <v>22</v>
      </c>
      <c r="BB92" s="139" t="str">
        <f>IF($E$5="Uniform Inputs",IF($Z92&gt;$E$15,"",IF($E$23="Pro-Rata",MIN(BD92*AW92,(($I$5+'Cash Flows'!$BX$8+INDEX('Cash Flows'!$C$19:$BW$19,1,MATCH(EOMONTH(BC92,MOD(-MONTH(BC92),3)-3),'Cash Flows'!$C$4:$BW$4,0)))-SUM($AS$5,$AJ$5,$AA$5))/$E$15),MIN($E$26,(($I$5+'Cash Flows'!$BX$8+INDEX('Cash Flows'!$C$19:$BW$19,1,MATCH(EOMONTH(BC92,MOD(-MONTH(BC92),3)-3),'Cash Flows'!$C$4:$BW$4,0)))-SUM($AS$5,$AJ$5,$AA$5))/$E$15))),IF(BG92=0,"",BG92))</f>
        <v/>
      </c>
      <c r="BC92" s="112" t="str">
        <f t="shared" si="65"/>
        <v/>
      </c>
      <c r="BD92" s="139" t="str">
        <f>IFERROR(IF($Z92&gt;$E$12,"",IF($E$5="Uniform Inputs",INDEX($D$45:$E$53,MATCH($BB$3,$B$45:$B$53,0),MATCH(BD$4,$D$44:$E$44,0)),IF(BI92=0,"",BI92))),"")</f>
        <v/>
      </c>
      <c r="BE92" s="139" t="str">
        <f>IFERROR(IF($Z92&gt;$E$12,"",IF($E$5="Uniform Inputs",INDEX($D$45:$E$53,MATCH($BB$3,$B$45:$B$53,0),MATCH(BE$4,$D$44:$E$44,0)),IF(BJ92=0,"",BJ92))),"")</f>
        <v/>
      </c>
      <c r="BF92" s="10" t="str">
        <f t="shared" si="66"/>
        <v/>
      </c>
      <c r="BG92" s="11" t="s">
        <v>22</v>
      </c>
      <c r="BH92" s="168" t="s">
        <v>22</v>
      </c>
      <c r="BI92" s="11" t="s">
        <v>22</v>
      </c>
      <c r="BJ92" s="11" t="s">
        <v>22</v>
      </c>
      <c r="BK92" s="139" t="str">
        <f>IF($E$5="Uniform Inputs",IF($Z92&gt;$E$16,"",IF($E$23="Pro-Rata",MIN(BM92*BF92,(($I$5+'Cash Flows'!$BX$8+INDEX('Cash Flows'!$C$19:$BW$19,1,MATCH(EOMONTH(BL92,MOD(-MONTH(BL92),3)-3),'Cash Flows'!$C$4:$BW$4,0)))-SUM($BB$5,$AS$5,$AJ$5,$AA$5))/$E$16),MIN($E$27,(($I$5+'Cash Flows'!$BX$8+INDEX('Cash Flows'!$C$19:$BW$19,1,MATCH(EOMONTH(BL92,MOD(-MONTH(BL92),3)-3),'Cash Flows'!$C$4:$BW$4,0)))-SUM($BB$5,$AS$5,$AJ$5,$AA$5))/$E$16))),IF(BP92=0,"",BP92))</f>
        <v/>
      </c>
      <c r="BL92" s="112" t="str">
        <f t="shared" si="67"/>
        <v/>
      </c>
      <c r="BM92" s="139" t="str">
        <f>IFERROR(IF($Z92&gt;$E$12,"",IF($E$5="Uniform Inputs",INDEX($D$45:$E$53,MATCH($BK$3,$B$45:$B$53,0),MATCH(BM$4,$D$44:$E$44,0)),IF(BR92=0,"",BR92))),"")</f>
        <v/>
      </c>
      <c r="BN92" s="139" t="str">
        <f>IFERROR(IF($Z92&gt;$E$12,"",IF($E$5="Uniform Inputs",INDEX($D$45:$E$53,MATCH($BK$3,$B$45:$B$53,0),MATCH(BN$4,$D$44:$E$44,0)),IF(BS92=0,"",BS92))),"")</f>
        <v/>
      </c>
      <c r="BO92" s="10" t="str">
        <f t="shared" si="68"/>
        <v/>
      </c>
      <c r="BP92" s="11" t="s">
        <v>22</v>
      </c>
      <c r="BQ92" s="168" t="s">
        <v>22</v>
      </c>
      <c r="BR92" s="11" t="s">
        <v>22</v>
      </c>
      <c r="BS92" s="11" t="s">
        <v>22</v>
      </c>
      <c r="BT92" s="139" t="str">
        <f t="shared" si="85"/>
        <v/>
      </c>
      <c r="BU92" s="112" t="str">
        <f t="shared" si="69"/>
        <v/>
      </c>
      <c r="BV92" s="139" t="str">
        <f>IFERROR(IF($Z92&gt;$E$12,"",IF($E$5="Uniform Inputs",INDEX($D$45:$E$53,MATCH($BT$3,$B$45:$B$53,0),MATCH(BV$4,$D$44:$E$44,0)),IF(CA92=0,"",CA92))),"")</f>
        <v/>
      </c>
      <c r="BW92" s="139" t="str">
        <f>IFERROR(IF($Z92&gt;$E$12,"",IF($E$5="Uniform Inputs",INDEX($D$45:$E$53,MATCH($BT$3,$B$45:$B$53,0),MATCH(BW$4,$D$44:$E$44,0)),IF(CB92=0,"",CB92))),"")</f>
        <v/>
      </c>
      <c r="BX92" s="10" t="str">
        <f t="shared" si="70"/>
        <v/>
      </c>
      <c r="BY92" s="11" t="s">
        <v>22</v>
      </c>
      <c r="BZ92" s="168" t="s">
        <v>22</v>
      </c>
      <c r="CA92" s="11" t="s">
        <v>22</v>
      </c>
      <c r="CB92" s="11" t="s">
        <v>22</v>
      </c>
      <c r="CC92" s="139" t="str">
        <f t="shared" si="86"/>
        <v/>
      </c>
      <c r="CD92" s="112" t="str">
        <f t="shared" si="71"/>
        <v/>
      </c>
      <c r="CE92" s="139" t="str">
        <f>IFERROR(IF($Z92&gt;$E$12,"",IF($E$5="Uniform Inputs",INDEX($D$45:$E$53,MATCH($CC$3,$B$45:$B$53,0),MATCH(CE$4,$D$44:$E$44,0)),IF(CJ92=0,"",CJ92))),"")</f>
        <v/>
      </c>
      <c r="CF92" s="139" t="str">
        <f>IFERROR(IF($Z92&gt;$E$12,"",IF($E$5="Uniform Inputs",INDEX($D$45:$E$53,MATCH($CC$3,$B$45:$B$53,0),MATCH(CF$4,$D$44:$E$44,0)),IF(CK92=0,"",CK92))),"")</f>
        <v/>
      </c>
      <c r="CG92" s="10" t="str">
        <f t="shared" si="72"/>
        <v/>
      </c>
      <c r="CH92" s="11" t="s">
        <v>22</v>
      </c>
      <c r="CI92" s="168" t="s">
        <v>22</v>
      </c>
      <c r="CJ92" s="11" t="s">
        <v>22</v>
      </c>
      <c r="CK92" s="11" t="s">
        <v>22</v>
      </c>
      <c r="CL92" s="139" t="str">
        <f t="shared" si="87"/>
        <v/>
      </c>
      <c r="CM92" s="112" t="str">
        <f t="shared" si="73"/>
        <v/>
      </c>
      <c r="CN92" s="139" t="str">
        <f>IFERROR(IF($Z92&gt;$E$12,"",IF($E$5="Uniform Inputs",INDEX($D$45:$E$53,MATCH($CL$3,$B$45:$B$53,0),MATCH(CN$4,$D$44:$E$44,0)),IF(CS92=0,"",CS92))),"")</f>
        <v/>
      </c>
      <c r="CO92" s="139" t="str">
        <f>IFERROR(IF($Z92&gt;$E$12,"",IF($E$5="Uniform Inputs",INDEX($D$45:$E$53,MATCH($CL$3,$B$45:$B$53,0),MATCH(CO$4,$D$44:$E$44,0)),IF(CT92=0,"",CT92))),"")</f>
        <v/>
      </c>
      <c r="CP92" s="10" t="str">
        <f t="shared" si="74"/>
        <v/>
      </c>
      <c r="CQ92" s="11" t="s">
        <v>22</v>
      </c>
      <c r="CR92" s="168" t="s">
        <v>22</v>
      </c>
      <c r="CS92" s="11" t="s">
        <v>22</v>
      </c>
      <c r="CT92" s="11" t="s">
        <v>22</v>
      </c>
      <c r="CU92" s="139" t="str">
        <f t="shared" si="88"/>
        <v/>
      </c>
      <c r="CV92" s="112" t="str">
        <f t="shared" si="75"/>
        <v/>
      </c>
      <c r="CW92" s="139" t="str">
        <f>IFERROR(IF($Z92&gt;$E$12,"",IF($E$5="Uniform Inputs",INDEX($D$45:$E$53,MATCH($CU$3,$B$45:$B$53,0),MATCH(CW$4,$D$44:$E$44,0)),IF(DB92=0,"",DB92))),"")</f>
        <v/>
      </c>
      <c r="CX92" s="139" t="str">
        <f>IFERROR(IF($Z92&gt;$E$12,"",IF($E$5="Uniform Inputs",INDEX($D$45:$E$53,MATCH($CU$3,$B$45:$B$53,0),MATCH(CX$4,$D$44:$E$44,0)),IF(DC92=0,"",DC92))),"")</f>
        <v/>
      </c>
      <c r="CY92" s="10" t="str">
        <f t="shared" si="76"/>
        <v/>
      </c>
      <c r="CZ92" s="11" t="s">
        <v>22</v>
      </c>
      <c r="DA92" s="168" t="s">
        <v>22</v>
      </c>
      <c r="DB92" s="11" t="s">
        <v>22</v>
      </c>
      <c r="DC92" s="11" t="s">
        <v>22</v>
      </c>
    </row>
    <row r="93" spans="2:107" x14ac:dyDescent="0.25">
      <c r="B93" s="3" t="s">
        <v>22</v>
      </c>
      <c r="C93" s="3" t="s">
        <v>22</v>
      </c>
      <c r="D93" s="2" t="s">
        <v>22</v>
      </c>
      <c r="K93" s="6" t="str">
        <f t="shared" si="77"/>
        <v/>
      </c>
      <c r="O93" s="6" t="str">
        <f t="shared" si="78"/>
        <v/>
      </c>
      <c r="P93" s="35" t="str">
        <f t="shared" si="56"/>
        <v/>
      </c>
      <c r="Q93" s="102" t="str">
        <f t="shared" si="57"/>
        <v/>
      </c>
      <c r="R93" s="102" t="str">
        <f t="shared" ca="1" si="58"/>
        <v/>
      </c>
      <c r="S93" s="112" t="str">
        <f t="shared" si="79"/>
        <v/>
      </c>
      <c r="T93" s="112" t="str">
        <f t="shared" ca="1" si="59"/>
        <v/>
      </c>
      <c r="U93" s="1" t="str">
        <f t="shared" si="80"/>
        <v/>
      </c>
      <c r="V93" s="1" t="str">
        <f t="shared" ca="1" si="60"/>
        <v/>
      </c>
      <c r="W93" s="34" t="str">
        <f t="shared" ca="1" si="81"/>
        <v/>
      </c>
      <c r="Y93" s="2">
        <v>88</v>
      </c>
      <c r="Z93" s="6" t="str">
        <f t="shared" si="82"/>
        <v/>
      </c>
      <c r="AA93" s="139" t="str">
        <f>IF($E$5="Uniform Inputs",IF($Z93&gt;$E$12,"",MIN($E$21,($I$5+'Cash Flows'!$BX$8+INDEX('Cash Flows'!$C$19:$BW$19,1,MATCH(EOMONTH(AB93,MOD(-MONTH(AB93),3)-3),'Cash Flows'!$C$4:$BW$4,0)))/$E$12)),IF(AF93&gt;0,AF93,""))</f>
        <v/>
      </c>
      <c r="AB93" s="112" t="str">
        <f t="shared" si="83"/>
        <v/>
      </c>
      <c r="AC93" s="139" t="str">
        <f>IFERROR(IF($Z93&gt;$E$12,"",IF($E$5="Uniform Inputs",INDEX($D$45:$E$53,MATCH($AA$3,$B$45:$B$53,0),MATCH(AC$4,$D$44:$E$44,0)),IF(AH93=0,"",AH93))),"")</f>
        <v/>
      </c>
      <c r="AD93" s="139" t="str">
        <f>IFERROR(IF($Z93&gt;$E$12,"",IF($E$5="Uniform Inputs",INDEX($D$45:$E$53,MATCH($AA$3,$B$45:$B$53,0),MATCH(AD$4,$D$44:$E$44,0)),IF(AI93=0,"",AI93))),"")</f>
        <v/>
      </c>
      <c r="AE93" s="10" t="str">
        <f t="shared" si="84"/>
        <v/>
      </c>
      <c r="AF93" s="11" t="s">
        <v>22</v>
      </c>
      <c r="AG93" s="168" t="s">
        <v>22</v>
      </c>
      <c r="AH93" s="11" t="s">
        <v>22</v>
      </c>
      <c r="AI93" s="11" t="s">
        <v>22</v>
      </c>
      <c r="AJ93" s="139" t="str">
        <f>IF($E$5="Uniform Inputs",IF($Z93&gt;$E$13,"",IF($E$23="Pro-Rata",MIN(AL93*AE93,(($I$5+'Cash Flows'!$BX$8+INDEX('Cash Flows'!$C$19:$BW$19,1,MATCH(EOMONTH(AK93,MOD(-MONTH(AK93),3)-3),'Cash Flows'!$C$4:$BW$4,0)))-$AA$5)/$E$13),MIN($E$24,(($I$5+'Cash Flows'!$BX$8+INDEX('Cash Flows'!$C$19:$BW$19,1,MATCH(EOMONTH(AK93,MOD(-MONTH(AK93),3)-3),'Cash Flows'!$C$4:$BW$4,0)))-$AA$5)/$E$13))),IF(AO93=0,"",AO93))</f>
        <v/>
      </c>
      <c r="AK93" s="112" t="str">
        <f t="shared" si="61"/>
        <v/>
      </c>
      <c r="AL93" s="139" t="str">
        <f>IFERROR(IF($Z93&gt;$E$12,"",IF($E$5="Uniform Inputs",INDEX($D$45:$E$53,MATCH($AJ$3,$B$45:$B$53,0),MATCH(AL$4,$D$44:$E$44,0)),IF(AQ93=0,"",AQ93))),"")</f>
        <v/>
      </c>
      <c r="AM93" s="139" t="str">
        <f>IFERROR(IF($Z93&gt;$E$12,"",IF($E$5="Uniform Inputs",INDEX($D$45:$E$53,MATCH($AJ$3,$B$45:$B$53,0),MATCH(AM$4,$D$44:$E$44,0)),IF(AR93=0,"",AR93))),"")</f>
        <v/>
      </c>
      <c r="AN93" s="10" t="str">
        <f t="shared" si="62"/>
        <v/>
      </c>
      <c r="AO93" s="11" t="s">
        <v>22</v>
      </c>
      <c r="AP93" s="168" t="s">
        <v>22</v>
      </c>
      <c r="AQ93" s="11" t="s">
        <v>22</v>
      </c>
      <c r="AR93" s="11" t="s">
        <v>22</v>
      </c>
      <c r="AS93" s="139" t="str">
        <f>IF($E$5="Uniform Inputs",IF($Z93&gt;$E$14,"",IF($E$23="Pro-Rata",MIN(AU93*AN93,(($I$5+'Cash Flows'!$BX$8+INDEX('Cash Flows'!$C$19:$BW$19,1,MATCH(EOMONTH(AT93,MOD(-MONTH(AT93),3)-3),'Cash Flows'!$C$4:$BW$4,0)))-SUM($AJ$5,$AA$5))/$E$14),MIN($E$25,(($I$5+'Cash Flows'!$BX$8+INDEX('Cash Flows'!$C$19:$BW$19,1,MATCH(EOMONTH(AT93,MOD(-MONTH(AT93),3)-3),'Cash Flows'!$C$4:$BW$4,0)))-SUM($AJ$5,$AA$5))/$E$14))),IF(AX93=0,"",AX93))</f>
        <v/>
      </c>
      <c r="AT93" s="112" t="str">
        <f t="shared" si="63"/>
        <v/>
      </c>
      <c r="AU93" s="139" t="str">
        <f>IFERROR(IF($Z93&gt;$E$12,"",IF($E$5="Uniform Inputs",INDEX($D$45:$E$53,MATCH($AS$3,$B$45:$B$53,0),MATCH(AU$4,$D$44:$E$44,0)),IF(AZ93=0,"",AZ93))),"")</f>
        <v/>
      </c>
      <c r="AV93" s="139" t="str">
        <f>IFERROR(IF($Z93&gt;$E$12,"",IF($E$5="Uniform Inputs",INDEX($D$45:$E$53,MATCH($AS$3,$B$45:$B$53,0),MATCH(AV$4,$D$44:$E$44,0)),IF(BA93=0,"",BA93))),"")</f>
        <v/>
      </c>
      <c r="AW93" s="10" t="str">
        <f t="shared" si="64"/>
        <v/>
      </c>
      <c r="AX93" s="11" t="s">
        <v>22</v>
      </c>
      <c r="AY93" s="168" t="s">
        <v>22</v>
      </c>
      <c r="AZ93" s="11" t="s">
        <v>22</v>
      </c>
      <c r="BA93" s="11" t="s">
        <v>22</v>
      </c>
      <c r="BB93" s="139" t="str">
        <f>IF($E$5="Uniform Inputs",IF($Z93&gt;$E$15,"",IF($E$23="Pro-Rata",MIN(BD93*AW93,(($I$5+'Cash Flows'!$BX$8+INDEX('Cash Flows'!$C$19:$BW$19,1,MATCH(EOMONTH(BC93,MOD(-MONTH(BC93),3)-3),'Cash Flows'!$C$4:$BW$4,0)))-SUM($AS$5,$AJ$5,$AA$5))/$E$15),MIN($E$26,(($I$5+'Cash Flows'!$BX$8+INDEX('Cash Flows'!$C$19:$BW$19,1,MATCH(EOMONTH(BC93,MOD(-MONTH(BC93),3)-3),'Cash Flows'!$C$4:$BW$4,0)))-SUM($AS$5,$AJ$5,$AA$5))/$E$15))),IF(BG93=0,"",BG93))</f>
        <v/>
      </c>
      <c r="BC93" s="112" t="str">
        <f t="shared" si="65"/>
        <v/>
      </c>
      <c r="BD93" s="139" t="str">
        <f>IFERROR(IF($Z93&gt;$E$12,"",IF($E$5="Uniform Inputs",INDEX($D$45:$E$53,MATCH($BB$3,$B$45:$B$53,0),MATCH(BD$4,$D$44:$E$44,0)),IF(BI93=0,"",BI93))),"")</f>
        <v/>
      </c>
      <c r="BE93" s="139" t="str">
        <f>IFERROR(IF($Z93&gt;$E$12,"",IF($E$5="Uniform Inputs",INDEX($D$45:$E$53,MATCH($BB$3,$B$45:$B$53,0),MATCH(BE$4,$D$44:$E$44,0)),IF(BJ93=0,"",BJ93))),"")</f>
        <v/>
      </c>
      <c r="BF93" s="10" t="str">
        <f t="shared" si="66"/>
        <v/>
      </c>
      <c r="BG93" s="11" t="s">
        <v>22</v>
      </c>
      <c r="BH93" s="168" t="s">
        <v>22</v>
      </c>
      <c r="BI93" s="11" t="s">
        <v>22</v>
      </c>
      <c r="BJ93" s="11" t="s">
        <v>22</v>
      </c>
      <c r="BK93" s="139" t="str">
        <f>IF($E$5="Uniform Inputs",IF($Z93&gt;$E$16,"",IF($E$23="Pro-Rata",MIN(BM93*BF93,(($I$5+'Cash Flows'!$BX$8+INDEX('Cash Flows'!$C$19:$BW$19,1,MATCH(EOMONTH(BL93,MOD(-MONTH(BL93),3)-3),'Cash Flows'!$C$4:$BW$4,0)))-SUM($BB$5,$AS$5,$AJ$5,$AA$5))/$E$16),MIN($E$27,(($I$5+'Cash Flows'!$BX$8+INDEX('Cash Flows'!$C$19:$BW$19,1,MATCH(EOMONTH(BL93,MOD(-MONTH(BL93),3)-3),'Cash Flows'!$C$4:$BW$4,0)))-SUM($BB$5,$AS$5,$AJ$5,$AA$5))/$E$16))),IF(BP93=0,"",BP93))</f>
        <v/>
      </c>
      <c r="BL93" s="112" t="str">
        <f t="shared" si="67"/>
        <v/>
      </c>
      <c r="BM93" s="139" t="str">
        <f>IFERROR(IF($Z93&gt;$E$12,"",IF($E$5="Uniform Inputs",INDEX($D$45:$E$53,MATCH($BK$3,$B$45:$B$53,0),MATCH(BM$4,$D$44:$E$44,0)),IF(BR93=0,"",BR93))),"")</f>
        <v/>
      </c>
      <c r="BN93" s="139" t="str">
        <f>IFERROR(IF($Z93&gt;$E$12,"",IF($E$5="Uniform Inputs",INDEX($D$45:$E$53,MATCH($BK$3,$B$45:$B$53,0),MATCH(BN$4,$D$44:$E$44,0)),IF(BS93=0,"",BS93))),"")</f>
        <v/>
      </c>
      <c r="BO93" s="10" t="str">
        <f t="shared" si="68"/>
        <v/>
      </c>
      <c r="BP93" s="11" t="s">
        <v>22</v>
      </c>
      <c r="BQ93" s="168" t="s">
        <v>22</v>
      </c>
      <c r="BR93" s="11" t="s">
        <v>22</v>
      </c>
      <c r="BS93" s="11" t="s">
        <v>22</v>
      </c>
      <c r="BT93" s="139" t="str">
        <f t="shared" si="85"/>
        <v/>
      </c>
      <c r="BU93" s="112" t="str">
        <f t="shared" si="69"/>
        <v/>
      </c>
      <c r="BV93" s="139" t="str">
        <f>IFERROR(IF($Z93&gt;$E$12,"",IF($E$5="Uniform Inputs",INDEX($D$45:$E$53,MATCH($BT$3,$B$45:$B$53,0),MATCH(BV$4,$D$44:$E$44,0)),IF(CA93=0,"",CA93))),"")</f>
        <v/>
      </c>
      <c r="BW93" s="139" t="str">
        <f>IFERROR(IF($Z93&gt;$E$12,"",IF($E$5="Uniform Inputs",INDEX($D$45:$E$53,MATCH($BT$3,$B$45:$B$53,0),MATCH(BW$4,$D$44:$E$44,0)),IF(CB93=0,"",CB93))),"")</f>
        <v/>
      </c>
      <c r="BX93" s="10" t="str">
        <f t="shared" si="70"/>
        <v/>
      </c>
      <c r="BY93" s="11" t="s">
        <v>22</v>
      </c>
      <c r="BZ93" s="168" t="s">
        <v>22</v>
      </c>
      <c r="CA93" s="11" t="s">
        <v>22</v>
      </c>
      <c r="CB93" s="11" t="s">
        <v>22</v>
      </c>
      <c r="CC93" s="139" t="str">
        <f t="shared" si="86"/>
        <v/>
      </c>
      <c r="CD93" s="112" t="str">
        <f t="shared" si="71"/>
        <v/>
      </c>
      <c r="CE93" s="139" t="str">
        <f>IFERROR(IF($Z93&gt;$E$12,"",IF($E$5="Uniform Inputs",INDEX($D$45:$E$53,MATCH($CC$3,$B$45:$B$53,0),MATCH(CE$4,$D$44:$E$44,0)),IF(CJ93=0,"",CJ93))),"")</f>
        <v/>
      </c>
      <c r="CF93" s="139" t="str">
        <f>IFERROR(IF($Z93&gt;$E$12,"",IF($E$5="Uniform Inputs",INDEX($D$45:$E$53,MATCH($CC$3,$B$45:$B$53,0),MATCH(CF$4,$D$44:$E$44,0)),IF(CK93=0,"",CK93))),"")</f>
        <v/>
      </c>
      <c r="CG93" s="10" t="str">
        <f t="shared" si="72"/>
        <v/>
      </c>
      <c r="CH93" s="11" t="s">
        <v>22</v>
      </c>
      <c r="CI93" s="168" t="s">
        <v>22</v>
      </c>
      <c r="CJ93" s="11" t="s">
        <v>22</v>
      </c>
      <c r="CK93" s="11" t="s">
        <v>22</v>
      </c>
      <c r="CL93" s="139" t="str">
        <f t="shared" si="87"/>
        <v/>
      </c>
      <c r="CM93" s="112" t="str">
        <f t="shared" si="73"/>
        <v/>
      </c>
      <c r="CN93" s="139" t="str">
        <f>IFERROR(IF($Z93&gt;$E$12,"",IF($E$5="Uniform Inputs",INDEX($D$45:$E$53,MATCH($CL$3,$B$45:$B$53,0),MATCH(CN$4,$D$44:$E$44,0)),IF(CS93=0,"",CS93))),"")</f>
        <v/>
      </c>
      <c r="CO93" s="139" t="str">
        <f>IFERROR(IF($Z93&gt;$E$12,"",IF($E$5="Uniform Inputs",INDEX($D$45:$E$53,MATCH($CL$3,$B$45:$B$53,0),MATCH(CO$4,$D$44:$E$44,0)),IF(CT93=0,"",CT93))),"")</f>
        <v/>
      </c>
      <c r="CP93" s="10" t="str">
        <f t="shared" si="74"/>
        <v/>
      </c>
      <c r="CQ93" s="11" t="s">
        <v>22</v>
      </c>
      <c r="CR93" s="168" t="s">
        <v>22</v>
      </c>
      <c r="CS93" s="11" t="s">
        <v>22</v>
      </c>
      <c r="CT93" s="11" t="s">
        <v>22</v>
      </c>
      <c r="CU93" s="139" t="str">
        <f t="shared" si="88"/>
        <v/>
      </c>
      <c r="CV93" s="112" t="str">
        <f t="shared" si="75"/>
        <v/>
      </c>
      <c r="CW93" s="139" t="str">
        <f>IFERROR(IF($Z93&gt;$E$12,"",IF($E$5="Uniform Inputs",INDEX($D$45:$E$53,MATCH($CU$3,$B$45:$B$53,0),MATCH(CW$4,$D$44:$E$44,0)),IF(DB93=0,"",DB93))),"")</f>
        <v/>
      </c>
      <c r="CX93" s="139" t="str">
        <f>IFERROR(IF($Z93&gt;$E$12,"",IF($E$5="Uniform Inputs",INDEX($D$45:$E$53,MATCH($CU$3,$B$45:$B$53,0),MATCH(CX$4,$D$44:$E$44,0)),IF(DC93=0,"",DC93))),"")</f>
        <v/>
      </c>
      <c r="CY93" s="10" t="str">
        <f t="shared" si="76"/>
        <v/>
      </c>
      <c r="CZ93" s="11" t="s">
        <v>22</v>
      </c>
      <c r="DA93" s="168" t="s">
        <v>22</v>
      </c>
      <c r="DB93" s="11" t="s">
        <v>22</v>
      </c>
      <c r="DC93" s="11" t="s">
        <v>22</v>
      </c>
    </row>
    <row r="94" spans="2:107" x14ac:dyDescent="0.25">
      <c r="B94" s="3" t="s">
        <v>22</v>
      </c>
      <c r="C94" s="3" t="s">
        <v>22</v>
      </c>
      <c r="D94" s="2" t="s">
        <v>22</v>
      </c>
      <c r="K94" s="6" t="str">
        <f t="shared" si="77"/>
        <v/>
      </c>
      <c r="O94" s="6" t="str">
        <f t="shared" si="78"/>
        <v/>
      </c>
      <c r="P94" s="35" t="str">
        <f t="shared" si="56"/>
        <v/>
      </c>
      <c r="Q94" s="102" t="str">
        <f t="shared" si="57"/>
        <v/>
      </c>
      <c r="R94" s="102" t="str">
        <f t="shared" ca="1" si="58"/>
        <v/>
      </c>
      <c r="S94" s="112" t="str">
        <f t="shared" si="79"/>
        <v/>
      </c>
      <c r="T94" s="112" t="str">
        <f t="shared" ca="1" si="59"/>
        <v/>
      </c>
      <c r="U94" s="1" t="str">
        <f t="shared" si="80"/>
        <v/>
      </c>
      <c r="V94" s="1" t="str">
        <f t="shared" ca="1" si="60"/>
        <v/>
      </c>
      <c r="W94" s="34" t="str">
        <f t="shared" ca="1" si="81"/>
        <v/>
      </c>
      <c r="Y94" s="2">
        <v>89</v>
      </c>
      <c r="Z94" s="6" t="str">
        <f t="shared" si="82"/>
        <v/>
      </c>
      <c r="AA94" s="139" t="str">
        <f>IF($E$5="Uniform Inputs",IF($Z94&gt;$E$12,"",MIN($E$21,($I$5+'Cash Flows'!$BX$8+INDEX('Cash Flows'!$C$19:$BW$19,1,MATCH(EOMONTH(AB94,MOD(-MONTH(AB94),3)-3),'Cash Flows'!$C$4:$BW$4,0)))/$E$12)),IF(AF94&gt;0,AF94,""))</f>
        <v/>
      </c>
      <c r="AB94" s="112" t="str">
        <f t="shared" si="83"/>
        <v/>
      </c>
      <c r="AC94" s="139" t="str">
        <f>IFERROR(IF($Z94&gt;$E$12,"",IF($E$5="Uniform Inputs",INDEX($D$45:$E$53,MATCH($AA$3,$B$45:$B$53,0),MATCH(AC$4,$D$44:$E$44,0)),IF(AH94=0,"",AH94))),"")</f>
        <v/>
      </c>
      <c r="AD94" s="139" t="str">
        <f>IFERROR(IF($Z94&gt;$E$12,"",IF($E$5="Uniform Inputs",INDEX($D$45:$E$53,MATCH($AA$3,$B$45:$B$53,0),MATCH(AD$4,$D$44:$E$44,0)),IF(AI94=0,"",AI94))),"")</f>
        <v/>
      </c>
      <c r="AE94" s="10" t="str">
        <f t="shared" si="84"/>
        <v/>
      </c>
      <c r="AF94" s="11" t="s">
        <v>22</v>
      </c>
      <c r="AG94" s="168" t="s">
        <v>22</v>
      </c>
      <c r="AH94" s="11" t="s">
        <v>22</v>
      </c>
      <c r="AI94" s="11" t="s">
        <v>22</v>
      </c>
      <c r="AJ94" s="139" t="str">
        <f>IF($E$5="Uniform Inputs",IF($Z94&gt;$E$13,"",IF($E$23="Pro-Rata",MIN(AL94*AE94,(($I$5+'Cash Flows'!$BX$8+INDEX('Cash Flows'!$C$19:$BW$19,1,MATCH(EOMONTH(AK94,MOD(-MONTH(AK94),3)-3),'Cash Flows'!$C$4:$BW$4,0)))-$AA$5)/$E$13),MIN($E$24,(($I$5+'Cash Flows'!$BX$8+INDEX('Cash Flows'!$C$19:$BW$19,1,MATCH(EOMONTH(AK94,MOD(-MONTH(AK94),3)-3),'Cash Flows'!$C$4:$BW$4,0)))-$AA$5)/$E$13))),IF(AO94=0,"",AO94))</f>
        <v/>
      </c>
      <c r="AK94" s="112" t="str">
        <f t="shared" si="61"/>
        <v/>
      </c>
      <c r="AL94" s="139" t="str">
        <f>IFERROR(IF($Z94&gt;$E$12,"",IF($E$5="Uniform Inputs",INDEX($D$45:$E$53,MATCH($AJ$3,$B$45:$B$53,0),MATCH(AL$4,$D$44:$E$44,0)),IF(AQ94=0,"",AQ94))),"")</f>
        <v/>
      </c>
      <c r="AM94" s="139" t="str">
        <f>IFERROR(IF($Z94&gt;$E$12,"",IF($E$5="Uniform Inputs",INDEX($D$45:$E$53,MATCH($AJ$3,$B$45:$B$53,0),MATCH(AM$4,$D$44:$E$44,0)),IF(AR94=0,"",AR94))),"")</f>
        <v/>
      </c>
      <c r="AN94" s="10" t="str">
        <f t="shared" si="62"/>
        <v/>
      </c>
      <c r="AO94" s="11" t="s">
        <v>22</v>
      </c>
      <c r="AP94" s="168" t="s">
        <v>22</v>
      </c>
      <c r="AQ94" s="11" t="s">
        <v>22</v>
      </c>
      <c r="AR94" s="11" t="s">
        <v>22</v>
      </c>
      <c r="AS94" s="139" t="str">
        <f>IF($E$5="Uniform Inputs",IF($Z94&gt;$E$14,"",IF($E$23="Pro-Rata",MIN(AU94*AN94,(($I$5+'Cash Flows'!$BX$8+INDEX('Cash Flows'!$C$19:$BW$19,1,MATCH(EOMONTH(AT94,MOD(-MONTH(AT94),3)-3),'Cash Flows'!$C$4:$BW$4,0)))-SUM($AJ$5,$AA$5))/$E$14),MIN($E$25,(($I$5+'Cash Flows'!$BX$8+INDEX('Cash Flows'!$C$19:$BW$19,1,MATCH(EOMONTH(AT94,MOD(-MONTH(AT94),3)-3),'Cash Flows'!$C$4:$BW$4,0)))-SUM($AJ$5,$AA$5))/$E$14))),IF(AX94=0,"",AX94))</f>
        <v/>
      </c>
      <c r="AT94" s="112" t="str">
        <f t="shared" si="63"/>
        <v/>
      </c>
      <c r="AU94" s="139" t="str">
        <f>IFERROR(IF($Z94&gt;$E$12,"",IF($E$5="Uniform Inputs",INDEX($D$45:$E$53,MATCH($AS$3,$B$45:$B$53,0),MATCH(AU$4,$D$44:$E$44,0)),IF(AZ94=0,"",AZ94))),"")</f>
        <v/>
      </c>
      <c r="AV94" s="139" t="str">
        <f>IFERROR(IF($Z94&gt;$E$12,"",IF($E$5="Uniform Inputs",INDEX($D$45:$E$53,MATCH($AS$3,$B$45:$B$53,0),MATCH(AV$4,$D$44:$E$44,0)),IF(BA94=0,"",BA94))),"")</f>
        <v/>
      </c>
      <c r="AW94" s="10" t="str">
        <f t="shared" si="64"/>
        <v/>
      </c>
      <c r="AX94" s="11" t="s">
        <v>22</v>
      </c>
      <c r="AY94" s="168" t="s">
        <v>22</v>
      </c>
      <c r="AZ94" s="11" t="s">
        <v>22</v>
      </c>
      <c r="BA94" s="11" t="s">
        <v>22</v>
      </c>
      <c r="BB94" s="139" t="str">
        <f>IF($E$5="Uniform Inputs",IF($Z94&gt;$E$15,"",IF($E$23="Pro-Rata",MIN(BD94*AW94,(($I$5+'Cash Flows'!$BX$8+INDEX('Cash Flows'!$C$19:$BW$19,1,MATCH(EOMONTH(BC94,MOD(-MONTH(BC94),3)-3),'Cash Flows'!$C$4:$BW$4,0)))-SUM($AS$5,$AJ$5,$AA$5))/$E$15),MIN($E$26,(($I$5+'Cash Flows'!$BX$8+INDEX('Cash Flows'!$C$19:$BW$19,1,MATCH(EOMONTH(BC94,MOD(-MONTH(BC94),3)-3),'Cash Flows'!$C$4:$BW$4,0)))-SUM($AS$5,$AJ$5,$AA$5))/$E$15))),IF(BG94=0,"",BG94))</f>
        <v/>
      </c>
      <c r="BC94" s="112" t="str">
        <f t="shared" si="65"/>
        <v/>
      </c>
      <c r="BD94" s="139" t="str">
        <f>IFERROR(IF($Z94&gt;$E$12,"",IF($E$5="Uniform Inputs",INDEX($D$45:$E$53,MATCH($BB$3,$B$45:$B$53,0),MATCH(BD$4,$D$44:$E$44,0)),IF(BI94=0,"",BI94))),"")</f>
        <v/>
      </c>
      <c r="BE94" s="139" t="str">
        <f>IFERROR(IF($Z94&gt;$E$12,"",IF($E$5="Uniform Inputs",INDEX($D$45:$E$53,MATCH($BB$3,$B$45:$B$53,0),MATCH(BE$4,$D$44:$E$44,0)),IF(BJ94=0,"",BJ94))),"")</f>
        <v/>
      </c>
      <c r="BF94" s="10" t="str">
        <f t="shared" si="66"/>
        <v/>
      </c>
      <c r="BG94" s="11" t="s">
        <v>22</v>
      </c>
      <c r="BH94" s="168" t="s">
        <v>22</v>
      </c>
      <c r="BI94" s="11" t="s">
        <v>22</v>
      </c>
      <c r="BJ94" s="11" t="s">
        <v>22</v>
      </c>
      <c r="BK94" s="139" t="str">
        <f>IF($E$5="Uniform Inputs",IF($Z94&gt;$E$16,"",IF($E$23="Pro-Rata",MIN(BM94*BF94,(($I$5+'Cash Flows'!$BX$8+INDEX('Cash Flows'!$C$19:$BW$19,1,MATCH(EOMONTH(BL94,MOD(-MONTH(BL94),3)-3),'Cash Flows'!$C$4:$BW$4,0)))-SUM($BB$5,$AS$5,$AJ$5,$AA$5))/$E$16),MIN($E$27,(($I$5+'Cash Flows'!$BX$8+INDEX('Cash Flows'!$C$19:$BW$19,1,MATCH(EOMONTH(BL94,MOD(-MONTH(BL94),3)-3),'Cash Flows'!$C$4:$BW$4,0)))-SUM($BB$5,$AS$5,$AJ$5,$AA$5))/$E$16))),IF(BP94=0,"",BP94))</f>
        <v/>
      </c>
      <c r="BL94" s="112" t="str">
        <f t="shared" si="67"/>
        <v/>
      </c>
      <c r="BM94" s="139" t="str">
        <f>IFERROR(IF($Z94&gt;$E$12,"",IF($E$5="Uniform Inputs",INDEX($D$45:$E$53,MATCH($BK$3,$B$45:$B$53,0),MATCH(BM$4,$D$44:$E$44,0)),IF(BR94=0,"",BR94))),"")</f>
        <v/>
      </c>
      <c r="BN94" s="139" t="str">
        <f>IFERROR(IF($Z94&gt;$E$12,"",IF($E$5="Uniform Inputs",INDEX($D$45:$E$53,MATCH($BK$3,$B$45:$B$53,0),MATCH(BN$4,$D$44:$E$44,0)),IF(BS94=0,"",BS94))),"")</f>
        <v/>
      </c>
      <c r="BO94" s="10" t="str">
        <f t="shared" si="68"/>
        <v/>
      </c>
      <c r="BP94" s="11" t="s">
        <v>22</v>
      </c>
      <c r="BQ94" s="168" t="s">
        <v>22</v>
      </c>
      <c r="BR94" s="11" t="s">
        <v>22</v>
      </c>
      <c r="BS94" s="11" t="s">
        <v>22</v>
      </c>
      <c r="BT94" s="139" t="str">
        <f t="shared" si="85"/>
        <v/>
      </c>
      <c r="BU94" s="112" t="str">
        <f t="shared" si="69"/>
        <v/>
      </c>
      <c r="BV94" s="139" t="str">
        <f>IFERROR(IF($Z94&gt;$E$12,"",IF($E$5="Uniform Inputs",INDEX($D$45:$E$53,MATCH($BT$3,$B$45:$B$53,0),MATCH(BV$4,$D$44:$E$44,0)),IF(CA94=0,"",CA94))),"")</f>
        <v/>
      </c>
      <c r="BW94" s="139" t="str">
        <f>IFERROR(IF($Z94&gt;$E$12,"",IF($E$5="Uniform Inputs",INDEX($D$45:$E$53,MATCH($BT$3,$B$45:$B$53,0),MATCH(BW$4,$D$44:$E$44,0)),IF(CB94=0,"",CB94))),"")</f>
        <v/>
      </c>
      <c r="BX94" s="10" t="str">
        <f t="shared" si="70"/>
        <v/>
      </c>
      <c r="BY94" s="11" t="s">
        <v>22</v>
      </c>
      <c r="BZ94" s="168" t="s">
        <v>22</v>
      </c>
      <c r="CA94" s="11" t="s">
        <v>22</v>
      </c>
      <c r="CB94" s="11" t="s">
        <v>22</v>
      </c>
      <c r="CC94" s="139" t="str">
        <f t="shared" si="86"/>
        <v/>
      </c>
      <c r="CD94" s="112" t="str">
        <f t="shared" si="71"/>
        <v/>
      </c>
      <c r="CE94" s="139" t="str">
        <f>IFERROR(IF($Z94&gt;$E$12,"",IF($E$5="Uniform Inputs",INDEX($D$45:$E$53,MATCH($CC$3,$B$45:$B$53,0),MATCH(CE$4,$D$44:$E$44,0)),IF(CJ94=0,"",CJ94))),"")</f>
        <v/>
      </c>
      <c r="CF94" s="139" t="str">
        <f>IFERROR(IF($Z94&gt;$E$12,"",IF($E$5="Uniform Inputs",INDEX($D$45:$E$53,MATCH($CC$3,$B$45:$B$53,0),MATCH(CF$4,$D$44:$E$44,0)),IF(CK94=0,"",CK94))),"")</f>
        <v/>
      </c>
      <c r="CG94" s="10" t="str">
        <f t="shared" si="72"/>
        <v/>
      </c>
      <c r="CH94" s="11" t="s">
        <v>22</v>
      </c>
      <c r="CI94" s="168" t="s">
        <v>22</v>
      </c>
      <c r="CJ94" s="11" t="s">
        <v>22</v>
      </c>
      <c r="CK94" s="11" t="s">
        <v>22</v>
      </c>
      <c r="CL94" s="139" t="str">
        <f t="shared" si="87"/>
        <v/>
      </c>
      <c r="CM94" s="112" t="str">
        <f t="shared" si="73"/>
        <v/>
      </c>
      <c r="CN94" s="139" t="str">
        <f>IFERROR(IF($Z94&gt;$E$12,"",IF($E$5="Uniform Inputs",INDEX($D$45:$E$53,MATCH($CL$3,$B$45:$B$53,0),MATCH(CN$4,$D$44:$E$44,0)),IF(CS94=0,"",CS94))),"")</f>
        <v/>
      </c>
      <c r="CO94" s="139" t="str">
        <f>IFERROR(IF($Z94&gt;$E$12,"",IF($E$5="Uniform Inputs",INDEX($D$45:$E$53,MATCH($CL$3,$B$45:$B$53,0),MATCH(CO$4,$D$44:$E$44,0)),IF(CT94=0,"",CT94))),"")</f>
        <v/>
      </c>
      <c r="CP94" s="10" t="str">
        <f t="shared" si="74"/>
        <v/>
      </c>
      <c r="CQ94" s="11" t="s">
        <v>22</v>
      </c>
      <c r="CR94" s="168" t="s">
        <v>22</v>
      </c>
      <c r="CS94" s="11" t="s">
        <v>22</v>
      </c>
      <c r="CT94" s="11" t="s">
        <v>22</v>
      </c>
      <c r="CU94" s="139" t="str">
        <f t="shared" si="88"/>
        <v/>
      </c>
      <c r="CV94" s="112" t="str">
        <f t="shared" si="75"/>
        <v/>
      </c>
      <c r="CW94" s="139" t="str">
        <f>IFERROR(IF($Z94&gt;$E$12,"",IF($E$5="Uniform Inputs",INDEX($D$45:$E$53,MATCH($CU$3,$B$45:$B$53,0),MATCH(CW$4,$D$44:$E$44,0)),IF(DB94=0,"",DB94))),"")</f>
        <v/>
      </c>
      <c r="CX94" s="139" t="str">
        <f>IFERROR(IF($Z94&gt;$E$12,"",IF($E$5="Uniform Inputs",INDEX($D$45:$E$53,MATCH($CU$3,$B$45:$B$53,0),MATCH(CX$4,$D$44:$E$44,0)),IF(DC94=0,"",DC94))),"")</f>
        <v/>
      </c>
      <c r="CY94" s="10" t="str">
        <f t="shared" si="76"/>
        <v/>
      </c>
      <c r="CZ94" s="11" t="s">
        <v>22</v>
      </c>
      <c r="DA94" s="168" t="s">
        <v>22</v>
      </c>
      <c r="DB94" s="11" t="s">
        <v>22</v>
      </c>
      <c r="DC94" s="11" t="s">
        <v>22</v>
      </c>
    </row>
    <row r="95" spans="2:107" x14ac:dyDescent="0.25">
      <c r="B95" s="3" t="s">
        <v>22</v>
      </c>
      <c r="C95" s="3" t="s">
        <v>22</v>
      </c>
      <c r="D95" s="2" t="s">
        <v>22</v>
      </c>
      <c r="K95" s="6" t="str">
        <f t="shared" si="77"/>
        <v/>
      </c>
      <c r="O95" s="6" t="str">
        <f t="shared" si="78"/>
        <v/>
      </c>
      <c r="P95" s="35" t="str">
        <f t="shared" si="56"/>
        <v/>
      </c>
      <c r="Q95" s="102" t="str">
        <f t="shared" si="57"/>
        <v/>
      </c>
      <c r="R95" s="102" t="str">
        <f t="shared" ca="1" si="58"/>
        <v/>
      </c>
      <c r="S95" s="112" t="str">
        <f t="shared" si="79"/>
        <v/>
      </c>
      <c r="T95" s="112" t="str">
        <f t="shared" ca="1" si="59"/>
        <v/>
      </c>
      <c r="U95" s="1" t="str">
        <f t="shared" si="80"/>
        <v/>
      </c>
      <c r="V95" s="1" t="str">
        <f t="shared" ca="1" si="60"/>
        <v/>
      </c>
      <c r="W95" s="34" t="str">
        <f t="shared" ca="1" si="81"/>
        <v/>
      </c>
      <c r="Y95" s="2">
        <v>90</v>
      </c>
      <c r="Z95" s="6" t="str">
        <f t="shared" si="82"/>
        <v/>
      </c>
      <c r="AA95" s="139" t="str">
        <f>IF($E$5="Uniform Inputs",IF($Z95&gt;$E$12,"",MIN($E$21,($I$5+'Cash Flows'!$BX$8+INDEX('Cash Flows'!$C$19:$BW$19,1,MATCH(EOMONTH(AB95,MOD(-MONTH(AB95),3)-3),'Cash Flows'!$C$4:$BW$4,0)))/$E$12)),IF(AF95&gt;0,AF95,""))</f>
        <v/>
      </c>
      <c r="AB95" s="112" t="str">
        <f t="shared" si="83"/>
        <v/>
      </c>
      <c r="AC95" s="139" t="str">
        <f>IFERROR(IF($Z95&gt;$E$12,"",IF($E$5="Uniform Inputs",INDEX($D$45:$E$53,MATCH($AA$3,$B$45:$B$53,0),MATCH(AC$4,$D$44:$E$44,0)),IF(AH95=0,"",AH95))),"")</f>
        <v/>
      </c>
      <c r="AD95" s="139" t="str">
        <f>IFERROR(IF($Z95&gt;$E$12,"",IF($E$5="Uniform Inputs",INDEX($D$45:$E$53,MATCH($AA$3,$B$45:$B$53,0),MATCH(AD$4,$D$44:$E$44,0)),IF(AI95=0,"",AI95))),"")</f>
        <v/>
      </c>
      <c r="AE95" s="10" t="str">
        <f t="shared" si="84"/>
        <v/>
      </c>
      <c r="AF95" s="11" t="s">
        <v>22</v>
      </c>
      <c r="AG95" s="168" t="s">
        <v>22</v>
      </c>
      <c r="AH95" s="11" t="s">
        <v>22</v>
      </c>
      <c r="AI95" s="11" t="s">
        <v>22</v>
      </c>
      <c r="AJ95" s="139" t="str">
        <f>IF($E$5="Uniform Inputs",IF($Z95&gt;$E$13,"",IF($E$23="Pro-Rata",MIN(AL95*AE95,(($I$5+'Cash Flows'!$BX$8+INDEX('Cash Flows'!$C$19:$BW$19,1,MATCH(EOMONTH(AK95,MOD(-MONTH(AK95),3)-3),'Cash Flows'!$C$4:$BW$4,0)))-$AA$5)/$E$13),MIN($E$24,(($I$5+'Cash Flows'!$BX$8+INDEX('Cash Flows'!$C$19:$BW$19,1,MATCH(EOMONTH(AK95,MOD(-MONTH(AK95),3)-3),'Cash Flows'!$C$4:$BW$4,0)))-$AA$5)/$E$13))),IF(AO95=0,"",AO95))</f>
        <v/>
      </c>
      <c r="AK95" s="112" t="str">
        <f t="shared" si="61"/>
        <v/>
      </c>
      <c r="AL95" s="139" t="str">
        <f>IFERROR(IF($Z95&gt;$E$12,"",IF($E$5="Uniform Inputs",INDEX($D$45:$E$53,MATCH($AJ$3,$B$45:$B$53,0),MATCH(AL$4,$D$44:$E$44,0)),IF(AQ95=0,"",AQ95))),"")</f>
        <v/>
      </c>
      <c r="AM95" s="139" t="str">
        <f>IFERROR(IF($Z95&gt;$E$12,"",IF($E$5="Uniform Inputs",INDEX($D$45:$E$53,MATCH($AJ$3,$B$45:$B$53,0),MATCH(AM$4,$D$44:$E$44,0)),IF(AR95=0,"",AR95))),"")</f>
        <v/>
      </c>
      <c r="AN95" s="10" t="str">
        <f t="shared" si="62"/>
        <v/>
      </c>
      <c r="AO95" s="11" t="s">
        <v>22</v>
      </c>
      <c r="AP95" s="168" t="s">
        <v>22</v>
      </c>
      <c r="AQ95" s="11" t="s">
        <v>22</v>
      </c>
      <c r="AR95" s="11" t="s">
        <v>22</v>
      </c>
      <c r="AS95" s="139" t="str">
        <f>IF($E$5="Uniform Inputs",IF($Z95&gt;$E$14,"",IF($E$23="Pro-Rata",MIN(AU95*AN95,(($I$5+'Cash Flows'!$BX$8+INDEX('Cash Flows'!$C$19:$BW$19,1,MATCH(EOMONTH(AT95,MOD(-MONTH(AT95),3)-3),'Cash Flows'!$C$4:$BW$4,0)))-SUM($AJ$5,$AA$5))/$E$14),MIN($E$25,(($I$5+'Cash Flows'!$BX$8+INDEX('Cash Flows'!$C$19:$BW$19,1,MATCH(EOMONTH(AT95,MOD(-MONTH(AT95),3)-3),'Cash Flows'!$C$4:$BW$4,0)))-SUM($AJ$5,$AA$5))/$E$14))),IF(AX95=0,"",AX95))</f>
        <v/>
      </c>
      <c r="AT95" s="112" t="str">
        <f t="shared" si="63"/>
        <v/>
      </c>
      <c r="AU95" s="139" t="str">
        <f>IFERROR(IF($Z95&gt;$E$12,"",IF($E$5="Uniform Inputs",INDEX($D$45:$E$53,MATCH($AS$3,$B$45:$B$53,0),MATCH(AU$4,$D$44:$E$44,0)),IF(AZ95=0,"",AZ95))),"")</f>
        <v/>
      </c>
      <c r="AV95" s="139" t="str">
        <f>IFERROR(IF($Z95&gt;$E$12,"",IF($E$5="Uniform Inputs",INDEX($D$45:$E$53,MATCH($AS$3,$B$45:$B$53,0),MATCH(AV$4,$D$44:$E$44,0)),IF(BA95=0,"",BA95))),"")</f>
        <v/>
      </c>
      <c r="AW95" s="10" t="str">
        <f t="shared" si="64"/>
        <v/>
      </c>
      <c r="AX95" s="11" t="s">
        <v>22</v>
      </c>
      <c r="AY95" s="168" t="s">
        <v>22</v>
      </c>
      <c r="AZ95" s="11" t="s">
        <v>22</v>
      </c>
      <c r="BA95" s="11" t="s">
        <v>22</v>
      </c>
      <c r="BB95" s="139" t="str">
        <f>IF($E$5="Uniform Inputs",IF($Z95&gt;$E$15,"",IF($E$23="Pro-Rata",MIN(BD95*AW95,(($I$5+'Cash Flows'!$BX$8+INDEX('Cash Flows'!$C$19:$BW$19,1,MATCH(EOMONTH(BC95,MOD(-MONTH(BC95),3)-3),'Cash Flows'!$C$4:$BW$4,0)))-SUM($AS$5,$AJ$5,$AA$5))/$E$15),MIN($E$26,(($I$5+'Cash Flows'!$BX$8+INDEX('Cash Flows'!$C$19:$BW$19,1,MATCH(EOMONTH(BC95,MOD(-MONTH(BC95),3)-3),'Cash Flows'!$C$4:$BW$4,0)))-SUM($AS$5,$AJ$5,$AA$5))/$E$15))),IF(BG95=0,"",BG95))</f>
        <v/>
      </c>
      <c r="BC95" s="112" t="str">
        <f t="shared" si="65"/>
        <v/>
      </c>
      <c r="BD95" s="139" t="str">
        <f>IFERROR(IF($Z95&gt;$E$12,"",IF($E$5="Uniform Inputs",INDEX($D$45:$E$53,MATCH($BB$3,$B$45:$B$53,0),MATCH(BD$4,$D$44:$E$44,0)),IF(BI95=0,"",BI95))),"")</f>
        <v/>
      </c>
      <c r="BE95" s="139" t="str">
        <f>IFERROR(IF($Z95&gt;$E$12,"",IF($E$5="Uniform Inputs",INDEX($D$45:$E$53,MATCH($BB$3,$B$45:$B$53,0),MATCH(BE$4,$D$44:$E$44,0)),IF(BJ95=0,"",BJ95))),"")</f>
        <v/>
      </c>
      <c r="BF95" s="10" t="str">
        <f t="shared" si="66"/>
        <v/>
      </c>
      <c r="BG95" s="11" t="s">
        <v>22</v>
      </c>
      <c r="BH95" s="168" t="s">
        <v>22</v>
      </c>
      <c r="BI95" s="11" t="s">
        <v>22</v>
      </c>
      <c r="BJ95" s="11" t="s">
        <v>22</v>
      </c>
      <c r="BK95" s="139" t="str">
        <f>IF($E$5="Uniform Inputs",IF($Z95&gt;$E$16,"",IF($E$23="Pro-Rata",MIN(BM95*BF95,(($I$5+'Cash Flows'!$BX$8+INDEX('Cash Flows'!$C$19:$BW$19,1,MATCH(EOMONTH(BL95,MOD(-MONTH(BL95),3)-3),'Cash Flows'!$C$4:$BW$4,0)))-SUM($BB$5,$AS$5,$AJ$5,$AA$5))/$E$16),MIN($E$27,(($I$5+'Cash Flows'!$BX$8+INDEX('Cash Flows'!$C$19:$BW$19,1,MATCH(EOMONTH(BL95,MOD(-MONTH(BL95),3)-3),'Cash Flows'!$C$4:$BW$4,0)))-SUM($BB$5,$AS$5,$AJ$5,$AA$5))/$E$16))),IF(BP95=0,"",BP95))</f>
        <v/>
      </c>
      <c r="BL95" s="112" t="str">
        <f t="shared" si="67"/>
        <v/>
      </c>
      <c r="BM95" s="139" t="str">
        <f>IFERROR(IF($Z95&gt;$E$12,"",IF($E$5="Uniform Inputs",INDEX($D$45:$E$53,MATCH($BK$3,$B$45:$B$53,0),MATCH(BM$4,$D$44:$E$44,0)),IF(BR95=0,"",BR95))),"")</f>
        <v/>
      </c>
      <c r="BN95" s="139" t="str">
        <f>IFERROR(IF($Z95&gt;$E$12,"",IF($E$5="Uniform Inputs",INDEX($D$45:$E$53,MATCH($BK$3,$B$45:$B$53,0),MATCH(BN$4,$D$44:$E$44,0)),IF(BS95=0,"",BS95))),"")</f>
        <v/>
      </c>
      <c r="BO95" s="10" t="str">
        <f t="shared" si="68"/>
        <v/>
      </c>
      <c r="BP95" s="11" t="s">
        <v>22</v>
      </c>
      <c r="BQ95" s="168" t="s">
        <v>22</v>
      </c>
      <c r="BR95" s="11" t="s">
        <v>22</v>
      </c>
      <c r="BS95" s="11" t="s">
        <v>22</v>
      </c>
      <c r="BT95" s="139" t="str">
        <f t="shared" si="85"/>
        <v/>
      </c>
      <c r="BU95" s="112" t="str">
        <f t="shared" si="69"/>
        <v/>
      </c>
      <c r="BV95" s="139" t="str">
        <f>IFERROR(IF($Z95&gt;$E$12,"",IF($E$5="Uniform Inputs",INDEX($D$45:$E$53,MATCH($BT$3,$B$45:$B$53,0),MATCH(BV$4,$D$44:$E$44,0)),IF(CA95=0,"",CA95))),"")</f>
        <v/>
      </c>
      <c r="BW95" s="139" t="str">
        <f>IFERROR(IF($Z95&gt;$E$12,"",IF($E$5="Uniform Inputs",INDEX($D$45:$E$53,MATCH($BT$3,$B$45:$B$53,0),MATCH(BW$4,$D$44:$E$44,0)),IF(CB95=0,"",CB95))),"")</f>
        <v/>
      </c>
      <c r="BX95" s="10" t="str">
        <f t="shared" si="70"/>
        <v/>
      </c>
      <c r="BY95" s="11" t="s">
        <v>22</v>
      </c>
      <c r="BZ95" s="168" t="s">
        <v>22</v>
      </c>
      <c r="CA95" s="11" t="s">
        <v>22</v>
      </c>
      <c r="CB95" s="11" t="s">
        <v>22</v>
      </c>
      <c r="CC95" s="139" t="str">
        <f t="shared" si="86"/>
        <v/>
      </c>
      <c r="CD95" s="112" t="str">
        <f t="shared" si="71"/>
        <v/>
      </c>
      <c r="CE95" s="139" t="str">
        <f>IFERROR(IF($Z95&gt;$E$12,"",IF($E$5="Uniform Inputs",INDEX($D$45:$E$53,MATCH($CC$3,$B$45:$B$53,0),MATCH(CE$4,$D$44:$E$44,0)),IF(CJ95=0,"",CJ95))),"")</f>
        <v/>
      </c>
      <c r="CF95" s="139" t="str">
        <f>IFERROR(IF($Z95&gt;$E$12,"",IF($E$5="Uniform Inputs",INDEX($D$45:$E$53,MATCH($CC$3,$B$45:$B$53,0),MATCH(CF$4,$D$44:$E$44,0)),IF(CK95=0,"",CK95))),"")</f>
        <v/>
      </c>
      <c r="CG95" s="10" t="str">
        <f t="shared" si="72"/>
        <v/>
      </c>
      <c r="CH95" s="11" t="s">
        <v>22</v>
      </c>
      <c r="CI95" s="168" t="s">
        <v>22</v>
      </c>
      <c r="CJ95" s="11" t="s">
        <v>22</v>
      </c>
      <c r="CK95" s="11" t="s">
        <v>22</v>
      </c>
      <c r="CL95" s="139" t="str">
        <f t="shared" si="87"/>
        <v/>
      </c>
      <c r="CM95" s="112" t="str">
        <f t="shared" si="73"/>
        <v/>
      </c>
      <c r="CN95" s="139" t="str">
        <f>IFERROR(IF($Z95&gt;$E$12,"",IF($E$5="Uniform Inputs",INDEX($D$45:$E$53,MATCH($CL$3,$B$45:$B$53,0),MATCH(CN$4,$D$44:$E$44,0)),IF(CS95=0,"",CS95))),"")</f>
        <v/>
      </c>
      <c r="CO95" s="139" t="str">
        <f>IFERROR(IF($Z95&gt;$E$12,"",IF($E$5="Uniform Inputs",INDEX($D$45:$E$53,MATCH($CL$3,$B$45:$B$53,0),MATCH(CO$4,$D$44:$E$44,0)),IF(CT95=0,"",CT95))),"")</f>
        <v/>
      </c>
      <c r="CP95" s="10" t="str">
        <f t="shared" si="74"/>
        <v/>
      </c>
      <c r="CQ95" s="11" t="s">
        <v>22</v>
      </c>
      <c r="CR95" s="168" t="s">
        <v>22</v>
      </c>
      <c r="CS95" s="11" t="s">
        <v>22</v>
      </c>
      <c r="CT95" s="11" t="s">
        <v>22</v>
      </c>
      <c r="CU95" s="139" t="str">
        <f t="shared" si="88"/>
        <v/>
      </c>
      <c r="CV95" s="112" t="str">
        <f t="shared" si="75"/>
        <v/>
      </c>
      <c r="CW95" s="139" t="str">
        <f>IFERROR(IF($Z95&gt;$E$12,"",IF($E$5="Uniform Inputs",INDEX($D$45:$E$53,MATCH($CU$3,$B$45:$B$53,0),MATCH(CW$4,$D$44:$E$44,0)),IF(DB95=0,"",DB95))),"")</f>
        <v/>
      </c>
      <c r="CX95" s="139" t="str">
        <f>IFERROR(IF($Z95&gt;$E$12,"",IF($E$5="Uniform Inputs",INDEX($D$45:$E$53,MATCH($CU$3,$B$45:$B$53,0),MATCH(CX$4,$D$44:$E$44,0)),IF(DC95=0,"",DC95))),"")</f>
        <v/>
      </c>
      <c r="CY95" s="10" t="str">
        <f t="shared" si="76"/>
        <v/>
      </c>
      <c r="CZ95" s="11" t="s">
        <v>22</v>
      </c>
      <c r="DA95" s="168" t="s">
        <v>22</v>
      </c>
      <c r="DB95" s="11" t="s">
        <v>22</v>
      </c>
      <c r="DC95" s="11" t="s">
        <v>22</v>
      </c>
    </row>
    <row r="96" spans="2:107" x14ac:dyDescent="0.25">
      <c r="B96" s="3" t="s">
        <v>22</v>
      </c>
      <c r="C96" s="3" t="s">
        <v>22</v>
      </c>
      <c r="D96" s="2" t="s">
        <v>22</v>
      </c>
      <c r="K96" s="6" t="str">
        <f t="shared" si="77"/>
        <v/>
      </c>
      <c r="O96" s="6" t="str">
        <f t="shared" si="78"/>
        <v/>
      </c>
      <c r="P96" s="35" t="str">
        <f t="shared" si="56"/>
        <v/>
      </c>
      <c r="Q96" s="102" t="str">
        <f t="shared" si="57"/>
        <v/>
      </c>
      <c r="R96" s="102" t="str">
        <f t="shared" ca="1" si="58"/>
        <v/>
      </c>
      <c r="S96" s="112" t="str">
        <f t="shared" si="79"/>
        <v/>
      </c>
      <c r="T96" s="112" t="str">
        <f t="shared" ca="1" si="59"/>
        <v/>
      </c>
      <c r="U96" s="1" t="str">
        <f t="shared" si="80"/>
        <v/>
      </c>
      <c r="V96" s="1" t="str">
        <f t="shared" ca="1" si="60"/>
        <v/>
      </c>
      <c r="W96" s="34" t="str">
        <f t="shared" ca="1" si="81"/>
        <v/>
      </c>
      <c r="Y96" s="2">
        <v>91</v>
      </c>
      <c r="Z96" s="6" t="str">
        <f t="shared" si="82"/>
        <v/>
      </c>
      <c r="AA96" s="139" t="str">
        <f>IF($E$5="Uniform Inputs",IF($Z96&gt;$E$12,"",MIN($E$21,($I$5+'Cash Flows'!$BX$8+INDEX('Cash Flows'!$C$19:$BW$19,1,MATCH(EOMONTH(AB96,MOD(-MONTH(AB96),3)-3),'Cash Flows'!$C$4:$BW$4,0)))/$E$12)),IF(AF96&gt;0,AF96,""))</f>
        <v/>
      </c>
      <c r="AB96" s="112" t="str">
        <f t="shared" si="83"/>
        <v/>
      </c>
      <c r="AC96" s="139" t="str">
        <f>IFERROR(IF($Z96&gt;$E$12,"",IF($E$5="Uniform Inputs",INDEX($D$45:$E$53,MATCH($AA$3,$B$45:$B$53,0),MATCH(AC$4,$D$44:$E$44,0)),IF(AH96=0,"",AH96))),"")</f>
        <v/>
      </c>
      <c r="AD96" s="139" t="str">
        <f>IFERROR(IF($Z96&gt;$E$12,"",IF($E$5="Uniform Inputs",INDEX($D$45:$E$53,MATCH($AA$3,$B$45:$B$53,0),MATCH(AD$4,$D$44:$E$44,0)),IF(AI96=0,"",AI96))),"")</f>
        <v/>
      </c>
      <c r="AE96" s="10" t="str">
        <f t="shared" si="84"/>
        <v/>
      </c>
      <c r="AF96" s="11" t="s">
        <v>22</v>
      </c>
      <c r="AG96" s="168" t="s">
        <v>22</v>
      </c>
      <c r="AH96" s="11" t="s">
        <v>22</v>
      </c>
      <c r="AI96" s="11" t="s">
        <v>22</v>
      </c>
      <c r="AJ96" s="139" t="str">
        <f>IF($E$5="Uniform Inputs",IF($Z96&gt;$E$13,"",IF($E$23="Pro-Rata",MIN(AL96*AE96,(($I$5+'Cash Flows'!$BX$8+INDEX('Cash Flows'!$C$19:$BW$19,1,MATCH(EOMONTH(AK96,MOD(-MONTH(AK96),3)-3),'Cash Flows'!$C$4:$BW$4,0)))-$AA$5)/$E$13),MIN($E$24,(($I$5+'Cash Flows'!$BX$8+INDEX('Cash Flows'!$C$19:$BW$19,1,MATCH(EOMONTH(AK96,MOD(-MONTH(AK96),3)-3),'Cash Flows'!$C$4:$BW$4,0)))-$AA$5)/$E$13))),IF(AO96=0,"",AO96))</f>
        <v/>
      </c>
      <c r="AK96" s="112" t="str">
        <f t="shared" si="61"/>
        <v/>
      </c>
      <c r="AL96" s="139" t="str">
        <f>IFERROR(IF($Z96&gt;$E$12,"",IF($E$5="Uniform Inputs",INDEX($D$45:$E$53,MATCH($AJ$3,$B$45:$B$53,0),MATCH(AL$4,$D$44:$E$44,0)),IF(AQ96=0,"",AQ96))),"")</f>
        <v/>
      </c>
      <c r="AM96" s="139" t="str">
        <f>IFERROR(IF($Z96&gt;$E$12,"",IF($E$5="Uniform Inputs",INDEX($D$45:$E$53,MATCH($AJ$3,$B$45:$B$53,0),MATCH(AM$4,$D$44:$E$44,0)),IF(AR96=0,"",AR96))),"")</f>
        <v/>
      </c>
      <c r="AN96" s="10" t="str">
        <f t="shared" si="62"/>
        <v/>
      </c>
      <c r="AO96" s="11" t="s">
        <v>22</v>
      </c>
      <c r="AP96" s="168" t="s">
        <v>22</v>
      </c>
      <c r="AQ96" s="11" t="s">
        <v>22</v>
      </c>
      <c r="AR96" s="11" t="s">
        <v>22</v>
      </c>
      <c r="AS96" s="139" t="str">
        <f>IF($E$5="Uniform Inputs",IF($Z96&gt;$E$14,"",IF($E$23="Pro-Rata",MIN(AU96*AN96,(($I$5+'Cash Flows'!$BX$8+INDEX('Cash Flows'!$C$19:$BW$19,1,MATCH(EOMONTH(AT96,MOD(-MONTH(AT96),3)-3),'Cash Flows'!$C$4:$BW$4,0)))-SUM($AJ$5,$AA$5))/$E$14),MIN($E$25,(($I$5+'Cash Flows'!$BX$8+INDEX('Cash Flows'!$C$19:$BW$19,1,MATCH(EOMONTH(AT96,MOD(-MONTH(AT96),3)-3),'Cash Flows'!$C$4:$BW$4,0)))-SUM($AJ$5,$AA$5))/$E$14))),IF(AX96=0,"",AX96))</f>
        <v/>
      </c>
      <c r="AT96" s="112" t="str">
        <f t="shared" si="63"/>
        <v/>
      </c>
      <c r="AU96" s="139" t="str">
        <f>IFERROR(IF($Z96&gt;$E$12,"",IF($E$5="Uniform Inputs",INDEX($D$45:$E$53,MATCH($AS$3,$B$45:$B$53,0),MATCH(AU$4,$D$44:$E$44,0)),IF(AZ96=0,"",AZ96))),"")</f>
        <v/>
      </c>
      <c r="AV96" s="139" t="str">
        <f>IFERROR(IF($Z96&gt;$E$12,"",IF($E$5="Uniform Inputs",INDEX($D$45:$E$53,MATCH($AS$3,$B$45:$B$53,0),MATCH(AV$4,$D$44:$E$44,0)),IF(BA96=0,"",BA96))),"")</f>
        <v/>
      </c>
      <c r="AW96" s="10" t="str">
        <f t="shared" si="64"/>
        <v/>
      </c>
      <c r="AX96" s="11" t="s">
        <v>22</v>
      </c>
      <c r="AY96" s="168" t="s">
        <v>22</v>
      </c>
      <c r="AZ96" s="11" t="s">
        <v>22</v>
      </c>
      <c r="BA96" s="11" t="s">
        <v>22</v>
      </c>
      <c r="BB96" s="139" t="str">
        <f>IF($E$5="Uniform Inputs",IF($Z96&gt;$E$15,"",IF($E$23="Pro-Rata",MIN(BD96*AW96,(($I$5+'Cash Flows'!$BX$8+INDEX('Cash Flows'!$C$19:$BW$19,1,MATCH(EOMONTH(BC96,MOD(-MONTH(BC96),3)-3),'Cash Flows'!$C$4:$BW$4,0)))-SUM($AS$5,$AJ$5,$AA$5))/$E$15),MIN($E$26,(($I$5+'Cash Flows'!$BX$8+INDEX('Cash Flows'!$C$19:$BW$19,1,MATCH(EOMONTH(BC96,MOD(-MONTH(BC96),3)-3),'Cash Flows'!$C$4:$BW$4,0)))-SUM($AS$5,$AJ$5,$AA$5))/$E$15))),IF(BG96=0,"",BG96))</f>
        <v/>
      </c>
      <c r="BC96" s="112" t="str">
        <f t="shared" si="65"/>
        <v/>
      </c>
      <c r="BD96" s="139" t="str">
        <f>IFERROR(IF($Z96&gt;$E$12,"",IF($E$5="Uniform Inputs",INDEX($D$45:$E$53,MATCH($BB$3,$B$45:$B$53,0),MATCH(BD$4,$D$44:$E$44,0)),IF(BI96=0,"",BI96))),"")</f>
        <v/>
      </c>
      <c r="BE96" s="139" t="str">
        <f>IFERROR(IF($Z96&gt;$E$12,"",IF($E$5="Uniform Inputs",INDEX($D$45:$E$53,MATCH($BB$3,$B$45:$B$53,0),MATCH(BE$4,$D$44:$E$44,0)),IF(BJ96=0,"",BJ96))),"")</f>
        <v/>
      </c>
      <c r="BF96" s="10" t="str">
        <f t="shared" si="66"/>
        <v/>
      </c>
      <c r="BG96" s="11" t="s">
        <v>22</v>
      </c>
      <c r="BH96" s="168" t="s">
        <v>22</v>
      </c>
      <c r="BI96" s="11" t="s">
        <v>22</v>
      </c>
      <c r="BJ96" s="11" t="s">
        <v>22</v>
      </c>
      <c r="BK96" s="139" t="str">
        <f>IF($E$5="Uniform Inputs",IF($Z96&gt;$E$16,"",IF($E$23="Pro-Rata",MIN(BM96*BF96,(($I$5+'Cash Flows'!$BX$8+INDEX('Cash Flows'!$C$19:$BW$19,1,MATCH(EOMONTH(BL96,MOD(-MONTH(BL96),3)-3),'Cash Flows'!$C$4:$BW$4,0)))-SUM($BB$5,$AS$5,$AJ$5,$AA$5))/$E$16),MIN($E$27,(($I$5+'Cash Flows'!$BX$8+INDEX('Cash Flows'!$C$19:$BW$19,1,MATCH(EOMONTH(BL96,MOD(-MONTH(BL96),3)-3),'Cash Flows'!$C$4:$BW$4,0)))-SUM($BB$5,$AS$5,$AJ$5,$AA$5))/$E$16))),IF(BP96=0,"",BP96))</f>
        <v/>
      </c>
      <c r="BL96" s="112" t="str">
        <f t="shared" si="67"/>
        <v/>
      </c>
      <c r="BM96" s="139" t="str">
        <f>IFERROR(IF($Z96&gt;$E$12,"",IF($E$5="Uniform Inputs",INDEX($D$45:$E$53,MATCH($BK$3,$B$45:$B$53,0),MATCH(BM$4,$D$44:$E$44,0)),IF(BR96=0,"",BR96))),"")</f>
        <v/>
      </c>
      <c r="BN96" s="139" t="str">
        <f>IFERROR(IF($Z96&gt;$E$12,"",IF($E$5="Uniform Inputs",INDEX($D$45:$E$53,MATCH($BK$3,$B$45:$B$53,0),MATCH(BN$4,$D$44:$E$44,0)),IF(BS96=0,"",BS96))),"")</f>
        <v/>
      </c>
      <c r="BO96" s="10" t="str">
        <f t="shared" si="68"/>
        <v/>
      </c>
      <c r="BP96" s="11" t="s">
        <v>22</v>
      </c>
      <c r="BQ96" s="168" t="s">
        <v>22</v>
      </c>
      <c r="BR96" s="11" t="s">
        <v>22</v>
      </c>
      <c r="BS96" s="11" t="s">
        <v>22</v>
      </c>
      <c r="BT96" s="139" t="str">
        <f t="shared" si="85"/>
        <v/>
      </c>
      <c r="BU96" s="112" t="str">
        <f t="shared" si="69"/>
        <v/>
      </c>
      <c r="BV96" s="139" t="str">
        <f>IFERROR(IF($Z96&gt;$E$12,"",IF($E$5="Uniform Inputs",INDEX($D$45:$E$53,MATCH($BT$3,$B$45:$B$53,0),MATCH(BV$4,$D$44:$E$44,0)),IF(CA96=0,"",CA96))),"")</f>
        <v/>
      </c>
      <c r="BW96" s="139" t="str">
        <f>IFERROR(IF($Z96&gt;$E$12,"",IF($E$5="Uniform Inputs",INDEX($D$45:$E$53,MATCH($BT$3,$B$45:$B$53,0),MATCH(BW$4,$D$44:$E$44,0)),IF(CB96=0,"",CB96))),"")</f>
        <v/>
      </c>
      <c r="BX96" s="10" t="str">
        <f t="shared" si="70"/>
        <v/>
      </c>
      <c r="BY96" s="11" t="s">
        <v>22</v>
      </c>
      <c r="BZ96" s="168" t="s">
        <v>22</v>
      </c>
      <c r="CA96" s="11" t="s">
        <v>22</v>
      </c>
      <c r="CB96" s="11" t="s">
        <v>22</v>
      </c>
      <c r="CC96" s="139" t="str">
        <f t="shared" si="86"/>
        <v/>
      </c>
      <c r="CD96" s="112" t="str">
        <f t="shared" si="71"/>
        <v/>
      </c>
      <c r="CE96" s="139" t="str">
        <f>IFERROR(IF($Z96&gt;$E$12,"",IF($E$5="Uniform Inputs",INDEX($D$45:$E$53,MATCH($CC$3,$B$45:$B$53,0),MATCH(CE$4,$D$44:$E$44,0)),IF(CJ96=0,"",CJ96))),"")</f>
        <v/>
      </c>
      <c r="CF96" s="139" t="str">
        <f>IFERROR(IF($Z96&gt;$E$12,"",IF($E$5="Uniform Inputs",INDEX($D$45:$E$53,MATCH($CC$3,$B$45:$B$53,0),MATCH(CF$4,$D$44:$E$44,0)),IF(CK96=0,"",CK96))),"")</f>
        <v/>
      </c>
      <c r="CG96" s="10" t="str">
        <f t="shared" si="72"/>
        <v/>
      </c>
      <c r="CH96" s="11" t="s">
        <v>22</v>
      </c>
      <c r="CI96" s="168" t="s">
        <v>22</v>
      </c>
      <c r="CJ96" s="11" t="s">
        <v>22</v>
      </c>
      <c r="CK96" s="11" t="s">
        <v>22</v>
      </c>
      <c r="CL96" s="139" t="str">
        <f t="shared" si="87"/>
        <v/>
      </c>
      <c r="CM96" s="112" t="str">
        <f t="shared" si="73"/>
        <v/>
      </c>
      <c r="CN96" s="139" t="str">
        <f>IFERROR(IF($Z96&gt;$E$12,"",IF($E$5="Uniform Inputs",INDEX($D$45:$E$53,MATCH($CL$3,$B$45:$B$53,0),MATCH(CN$4,$D$44:$E$44,0)),IF(CS96=0,"",CS96))),"")</f>
        <v/>
      </c>
      <c r="CO96" s="139" t="str">
        <f>IFERROR(IF($Z96&gt;$E$12,"",IF($E$5="Uniform Inputs",INDEX($D$45:$E$53,MATCH($CL$3,$B$45:$B$53,0),MATCH(CO$4,$D$44:$E$44,0)),IF(CT96=0,"",CT96))),"")</f>
        <v/>
      </c>
      <c r="CP96" s="10" t="str">
        <f t="shared" si="74"/>
        <v/>
      </c>
      <c r="CQ96" s="11" t="s">
        <v>22</v>
      </c>
      <c r="CR96" s="168" t="s">
        <v>22</v>
      </c>
      <c r="CS96" s="11" t="s">
        <v>22</v>
      </c>
      <c r="CT96" s="11" t="s">
        <v>22</v>
      </c>
      <c r="CU96" s="139" t="str">
        <f t="shared" si="88"/>
        <v/>
      </c>
      <c r="CV96" s="112" t="str">
        <f t="shared" si="75"/>
        <v/>
      </c>
      <c r="CW96" s="139" t="str">
        <f>IFERROR(IF($Z96&gt;$E$12,"",IF($E$5="Uniform Inputs",INDEX($D$45:$E$53,MATCH($CU$3,$B$45:$B$53,0),MATCH(CW$4,$D$44:$E$44,0)),IF(DB96=0,"",DB96))),"")</f>
        <v/>
      </c>
      <c r="CX96" s="139" t="str">
        <f>IFERROR(IF($Z96&gt;$E$12,"",IF($E$5="Uniform Inputs",INDEX($D$45:$E$53,MATCH($CU$3,$B$45:$B$53,0),MATCH(CX$4,$D$44:$E$44,0)),IF(DC96=0,"",DC96))),"")</f>
        <v/>
      </c>
      <c r="CY96" s="10" t="str">
        <f t="shared" si="76"/>
        <v/>
      </c>
      <c r="CZ96" s="11" t="s">
        <v>22</v>
      </c>
      <c r="DA96" s="168" t="s">
        <v>22</v>
      </c>
      <c r="DB96" s="11" t="s">
        <v>22</v>
      </c>
      <c r="DC96" s="11" t="s">
        <v>22</v>
      </c>
    </row>
    <row r="97" spans="2:107" x14ac:dyDescent="0.25">
      <c r="B97" s="3" t="s">
        <v>22</v>
      </c>
      <c r="C97" s="3" t="s">
        <v>22</v>
      </c>
      <c r="D97" s="2" t="s">
        <v>22</v>
      </c>
      <c r="K97" s="6" t="str">
        <f t="shared" si="77"/>
        <v/>
      </c>
      <c r="O97" s="6" t="str">
        <f t="shared" si="78"/>
        <v/>
      </c>
      <c r="P97" s="35" t="str">
        <f t="shared" si="56"/>
        <v/>
      </c>
      <c r="Q97" s="102" t="str">
        <f t="shared" si="57"/>
        <v/>
      </c>
      <c r="R97" s="102" t="str">
        <f t="shared" ca="1" si="58"/>
        <v/>
      </c>
      <c r="S97" s="112" t="str">
        <f t="shared" si="79"/>
        <v/>
      </c>
      <c r="T97" s="112" t="str">
        <f t="shared" ca="1" si="59"/>
        <v/>
      </c>
      <c r="U97" s="1" t="str">
        <f t="shared" si="80"/>
        <v/>
      </c>
      <c r="V97" s="1" t="str">
        <f t="shared" ca="1" si="60"/>
        <v/>
      </c>
      <c r="W97" s="34" t="str">
        <f t="shared" ca="1" si="81"/>
        <v/>
      </c>
      <c r="Y97" s="2">
        <v>92</v>
      </c>
      <c r="Z97" s="6" t="str">
        <f t="shared" si="82"/>
        <v/>
      </c>
      <c r="AA97" s="139" t="str">
        <f>IF($E$5="Uniform Inputs",IF($Z97&gt;$E$12,"",MIN($E$21,($I$5+'Cash Flows'!$BX$8+INDEX('Cash Flows'!$C$19:$BW$19,1,MATCH(EOMONTH(AB97,MOD(-MONTH(AB97),3)-3),'Cash Flows'!$C$4:$BW$4,0)))/$E$12)),IF(AF97&gt;0,AF97,""))</f>
        <v/>
      </c>
      <c r="AB97" s="112" t="str">
        <f t="shared" si="83"/>
        <v/>
      </c>
      <c r="AC97" s="139" t="str">
        <f>IFERROR(IF($Z97&gt;$E$12,"",IF($E$5="Uniform Inputs",INDEX($D$45:$E$53,MATCH($AA$3,$B$45:$B$53,0),MATCH(AC$4,$D$44:$E$44,0)),IF(AH97=0,"",AH97))),"")</f>
        <v/>
      </c>
      <c r="AD97" s="139" t="str">
        <f>IFERROR(IF($Z97&gt;$E$12,"",IF($E$5="Uniform Inputs",INDEX($D$45:$E$53,MATCH($AA$3,$B$45:$B$53,0),MATCH(AD$4,$D$44:$E$44,0)),IF(AI97=0,"",AI97))),"")</f>
        <v/>
      </c>
      <c r="AE97" s="10" t="str">
        <f t="shared" si="84"/>
        <v/>
      </c>
      <c r="AF97" s="11" t="s">
        <v>22</v>
      </c>
      <c r="AG97" s="168" t="s">
        <v>22</v>
      </c>
      <c r="AH97" s="11" t="s">
        <v>22</v>
      </c>
      <c r="AI97" s="11" t="s">
        <v>22</v>
      </c>
      <c r="AJ97" s="139" t="str">
        <f>IF($E$5="Uniform Inputs",IF($Z97&gt;$E$13,"",IF($E$23="Pro-Rata",MIN(AL97*AE97,(($I$5+'Cash Flows'!$BX$8+INDEX('Cash Flows'!$C$19:$BW$19,1,MATCH(EOMONTH(AK97,MOD(-MONTH(AK97),3)-3),'Cash Flows'!$C$4:$BW$4,0)))-$AA$5)/$E$13),MIN($E$24,(($I$5+'Cash Flows'!$BX$8+INDEX('Cash Flows'!$C$19:$BW$19,1,MATCH(EOMONTH(AK97,MOD(-MONTH(AK97),3)-3),'Cash Flows'!$C$4:$BW$4,0)))-$AA$5)/$E$13))),IF(AO97=0,"",AO97))</f>
        <v/>
      </c>
      <c r="AK97" s="112" t="str">
        <f t="shared" si="61"/>
        <v/>
      </c>
      <c r="AL97" s="139" t="str">
        <f>IFERROR(IF($Z97&gt;$E$12,"",IF($E$5="Uniform Inputs",INDEX($D$45:$E$53,MATCH($AJ$3,$B$45:$B$53,0),MATCH(AL$4,$D$44:$E$44,0)),IF(AQ97=0,"",AQ97))),"")</f>
        <v/>
      </c>
      <c r="AM97" s="139" t="str">
        <f>IFERROR(IF($Z97&gt;$E$12,"",IF($E$5="Uniform Inputs",INDEX($D$45:$E$53,MATCH($AJ$3,$B$45:$B$53,0),MATCH(AM$4,$D$44:$E$44,0)),IF(AR97=0,"",AR97))),"")</f>
        <v/>
      </c>
      <c r="AN97" s="10" t="str">
        <f t="shared" si="62"/>
        <v/>
      </c>
      <c r="AO97" s="11" t="s">
        <v>22</v>
      </c>
      <c r="AP97" s="168" t="s">
        <v>22</v>
      </c>
      <c r="AQ97" s="11" t="s">
        <v>22</v>
      </c>
      <c r="AR97" s="11" t="s">
        <v>22</v>
      </c>
      <c r="AS97" s="139" t="str">
        <f>IF($E$5="Uniform Inputs",IF($Z97&gt;$E$14,"",IF($E$23="Pro-Rata",MIN(AU97*AN97,(($I$5+'Cash Flows'!$BX$8+INDEX('Cash Flows'!$C$19:$BW$19,1,MATCH(EOMONTH(AT97,MOD(-MONTH(AT97),3)-3),'Cash Flows'!$C$4:$BW$4,0)))-SUM($AJ$5,$AA$5))/$E$14),MIN($E$25,(($I$5+'Cash Flows'!$BX$8+INDEX('Cash Flows'!$C$19:$BW$19,1,MATCH(EOMONTH(AT97,MOD(-MONTH(AT97),3)-3),'Cash Flows'!$C$4:$BW$4,0)))-SUM($AJ$5,$AA$5))/$E$14))),IF(AX97=0,"",AX97))</f>
        <v/>
      </c>
      <c r="AT97" s="112" t="str">
        <f t="shared" si="63"/>
        <v/>
      </c>
      <c r="AU97" s="139" t="str">
        <f>IFERROR(IF($Z97&gt;$E$12,"",IF($E$5="Uniform Inputs",INDEX($D$45:$E$53,MATCH($AS$3,$B$45:$B$53,0),MATCH(AU$4,$D$44:$E$44,0)),IF(AZ97=0,"",AZ97))),"")</f>
        <v/>
      </c>
      <c r="AV97" s="139" t="str">
        <f>IFERROR(IF($Z97&gt;$E$12,"",IF($E$5="Uniform Inputs",INDEX($D$45:$E$53,MATCH($AS$3,$B$45:$B$53,0),MATCH(AV$4,$D$44:$E$44,0)),IF(BA97=0,"",BA97))),"")</f>
        <v/>
      </c>
      <c r="AW97" s="10" t="str">
        <f t="shared" si="64"/>
        <v/>
      </c>
      <c r="AX97" s="11" t="s">
        <v>22</v>
      </c>
      <c r="AY97" s="168" t="s">
        <v>22</v>
      </c>
      <c r="AZ97" s="11" t="s">
        <v>22</v>
      </c>
      <c r="BA97" s="11" t="s">
        <v>22</v>
      </c>
      <c r="BB97" s="139" t="str">
        <f>IF($E$5="Uniform Inputs",IF($Z97&gt;$E$15,"",IF($E$23="Pro-Rata",MIN(BD97*AW97,(($I$5+'Cash Flows'!$BX$8+INDEX('Cash Flows'!$C$19:$BW$19,1,MATCH(EOMONTH(BC97,MOD(-MONTH(BC97),3)-3),'Cash Flows'!$C$4:$BW$4,0)))-SUM($AS$5,$AJ$5,$AA$5))/$E$15),MIN($E$26,(($I$5+'Cash Flows'!$BX$8+INDEX('Cash Flows'!$C$19:$BW$19,1,MATCH(EOMONTH(BC97,MOD(-MONTH(BC97),3)-3),'Cash Flows'!$C$4:$BW$4,0)))-SUM($AS$5,$AJ$5,$AA$5))/$E$15))),IF(BG97=0,"",BG97))</f>
        <v/>
      </c>
      <c r="BC97" s="112" t="str">
        <f t="shared" si="65"/>
        <v/>
      </c>
      <c r="BD97" s="139" t="str">
        <f>IFERROR(IF($Z97&gt;$E$12,"",IF($E$5="Uniform Inputs",INDEX($D$45:$E$53,MATCH($BB$3,$B$45:$B$53,0),MATCH(BD$4,$D$44:$E$44,0)),IF(BI97=0,"",BI97))),"")</f>
        <v/>
      </c>
      <c r="BE97" s="139" t="str">
        <f>IFERROR(IF($Z97&gt;$E$12,"",IF($E$5="Uniform Inputs",INDEX($D$45:$E$53,MATCH($BB$3,$B$45:$B$53,0),MATCH(BE$4,$D$44:$E$44,0)),IF(BJ97=0,"",BJ97))),"")</f>
        <v/>
      </c>
      <c r="BF97" s="10" t="str">
        <f t="shared" si="66"/>
        <v/>
      </c>
      <c r="BG97" s="11" t="s">
        <v>22</v>
      </c>
      <c r="BH97" s="168" t="s">
        <v>22</v>
      </c>
      <c r="BI97" s="11" t="s">
        <v>22</v>
      </c>
      <c r="BJ97" s="11" t="s">
        <v>22</v>
      </c>
      <c r="BK97" s="139" t="str">
        <f>IF($E$5="Uniform Inputs",IF($Z97&gt;$E$16,"",IF($E$23="Pro-Rata",MIN(BM97*BF97,(($I$5+'Cash Flows'!$BX$8+INDEX('Cash Flows'!$C$19:$BW$19,1,MATCH(EOMONTH(BL97,MOD(-MONTH(BL97),3)-3),'Cash Flows'!$C$4:$BW$4,0)))-SUM($BB$5,$AS$5,$AJ$5,$AA$5))/$E$16),MIN($E$27,(($I$5+'Cash Flows'!$BX$8+INDEX('Cash Flows'!$C$19:$BW$19,1,MATCH(EOMONTH(BL97,MOD(-MONTH(BL97),3)-3),'Cash Flows'!$C$4:$BW$4,0)))-SUM($BB$5,$AS$5,$AJ$5,$AA$5))/$E$16))),IF(BP97=0,"",BP97))</f>
        <v/>
      </c>
      <c r="BL97" s="112" t="str">
        <f t="shared" si="67"/>
        <v/>
      </c>
      <c r="BM97" s="139" t="str">
        <f>IFERROR(IF($Z97&gt;$E$12,"",IF($E$5="Uniform Inputs",INDEX($D$45:$E$53,MATCH($BK$3,$B$45:$B$53,0),MATCH(BM$4,$D$44:$E$44,0)),IF(BR97=0,"",BR97))),"")</f>
        <v/>
      </c>
      <c r="BN97" s="139" t="str">
        <f>IFERROR(IF($Z97&gt;$E$12,"",IF($E$5="Uniform Inputs",INDEX($D$45:$E$53,MATCH($BK$3,$B$45:$B$53,0),MATCH(BN$4,$D$44:$E$44,0)),IF(BS97=0,"",BS97))),"")</f>
        <v/>
      </c>
      <c r="BO97" s="10" t="str">
        <f t="shared" si="68"/>
        <v/>
      </c>
      <c r="BP97" s="11" t="s">
        <v>22</v>
      </c>
      <c r="BQ97" s="168" t="s">
        <v>22</v>
      </c>
      <c r="BR97" s="11" t="s">
        <v>22</v>
      </c>
      <c r="BS97" s="11" t="s">
        <v>22</v>
      </c>
      <c r="BT97" s="139" t="str">
        <f t="shared" si="85"/>
        <v/>
      </c>
      <c r="BU97" s="112" t="str">
        <f t="shared" si="69"/>
        <v/>
      </c>
      <c r="BV97" s="139" t="str">
        <f>IFERROR(IF($Z97&gt;$E$12,"",IF($E$5="Uniform Inputs",INDEX($D$45:$E$53,MATCH($BT$3,$B$45:$B$53,0),MATCH(BV$4,$D$44:$E$44,0)),IF(CA97=0,"",CA97))),"")</f>
        <v/>
      </c>
      <c r="BW97" s="139" t="str">
        <f>IFERROR(IF($Z97&gt;$E$12,"",IF($E$5="Uniform Inputs",INDEX($D$45:$E$53,MATCH($BT$3,$B$45:$B$53,0),MATCH(BW$4,$D$44:$E$44,0)),IF(CB97=0,"",CB97))),"")</f>
        <v/>
      </c>
      <c r="BX97" s="10" t="str">
        <f t="shared" si="70"/>
        <v/>
      </c>
      <c r="BY97" s="11" t="s">
        <v>22</v>
      </c>
      <c r="BZ97" s="168" t="s">
        <v>22</v>
      </c>
      <c r="CA97" s="11" t="s">
        <v>22</v>
      </c>
      <c r="CB97" s="11" t="s">
        <v>22</v>
      </c>
      <c r="CC97" s="139" t="str">
        <f t="shared" si="86"/>
        <v/>
      </c>
      <c r="CD97" s="112" t="str">
        <f t="shared" si="71"/>
        <v/>
      </c>
      <c r="CE97" s="139" t="str">
        <f>IFERROR(IF($Z97&gt;$E$12,"",IF($E$5="Uniform Inputs",INDEX($D$45:$E$53,MATCH($CC$3,$B$45:$B$53,0),MATCH(CE$4,$D$44:$E$44,0)),IF(CJ97=0,"",CJ97))),"")</f>
        <v/>
      </c>
      <c r="CF97" s="139" t="str">
        <f>IFERROR(IF($Z97&gt;$E$12,"",IF($E$5="Uniform Inputs",INDEX($D$45:$E$53,MATCH($CC$3,$B$45:$B$53,0),MATCH(CF$4,$D$44:$E$44,0)),IF(CK97=0,"",CK97))),"")</f>
        <v/>
      </c>
      <c r="CG97" s="10" t="str">
        <f t="shared" si="72"/>
        <v/>
      </c>
      <c r="CH97" s="11" t="s">
        <v>22</v>
      </c>
      <c r="CI97" s="168" t="s">
        <v>22</v>
      </c>
      <c r="CJ97" s="11" t="s">
        <v>22</v>
      </c>
      <c r="CK97" s="11" t="s">
        <v>22</v>
      </c>
      <c r="CL97" s="139" t="str">
        <f t="shared" si="87"/>
        <v/>
      </c>
      <c r="CM97" s="112" t="str">
        <f t="shared" si="73"/>
        <v/>
      </c>
      <c r="CN97" s="139" t="str">
        <f>IFERROR(IF($Z97&gt;$E$12,"",IF($E$5="Uniform Inputs",INDEX($D$45:$E$53,MATCH($CL$3,$B$45:$B$53,0),MATCH(CN$4,$D$44:$E$44,0)),IF(CS97=0,"",CS97))),"")</f>
        <v/>
      </c>
      <c r="CO97" s="139" t="str">
        <f>IFERROR(IF($Z97&gt;$E$12,"",IF($E$5="Uniform Inputs",INDEX($D$45:$E$53,MATCH($CL$3,$B$45:$B$53,0),MATCH(CO$4,$D$44:$E$44,0)),IF(CT97=0,"",CT97))),"")</f>
        <v/>
      </c>
      <c r="CP97" s="10" t="str">
        <f t="shared" si="74"/>
        <v/>
      </c>
      <c r="CQ97" s="11" t="s">
        <v>22</v>
      </c>
      <c r="CR97" s="168" t="s">
        <v>22</v>
      </c>
      <c r="CS97" s="11" t="s">
        <v>22</v>
      </c>
      <c r="CT97" s="11" t="s">
        <v>22</v>
      </c>
      <c r="CU97" s="139" t="str">
        <f t="shared" si="88"/>
        <v/>
      </c>
      <c r="CV97" s="112" t="str">
        <f t="shared" si="75"/>
        <v/>
      </c>
      <c r="CW97" s="139" t="str">
        <f>IFERROR(IF($Z97&gt;$E$12,"",IF($E$5="Uniform Inputs",INDEX($D$45:$E$53,MATCH($CU$3,$B$45:$B$53,0),MATCH(CW$4,$D$44:$E$44,0)),IF(DB97=0,"",DB97))),"")</f>
        <v/>
      </c>
      <c r="CX97" s="139" t="str">
        <f>IFERROR(IF($Z97&gt;$E$12,"",IF($E$5="Uniform Inputs",INDEX($D$45:$E$53,MATCH($CU$3,$B$45:$B$53,0),MATCH(CX$4,$D$44:$E$44,0)),IF(DC97=0,"",DC97))),"")</f>
        <v/>
      </c>
      <c r="CY97" s="10" t="str">
        <f t="shared" si="76"/>
        <v/>
      </c>
      <c r="CZ97" s="11" t="s">
        <v>22</v>
      </c>
      <c r="DA97" s="168" t="s">
        <v>22</v>
      </c>
      <c r="DB97" s="11" t="s">
        <v>22</v>
      </c>
      <c r="DC97" s="11" t="s">
        <v>22</v>
      </c>
    </row>
    <row r="98" spans="2:107" x14ac:dyDescent="0.25">
      <c r="B98" s="3" t="s">
        <v>22</v>
      </c>
      <c r="C98" s="3" t="s">
        <v>22</v>
      </c>
      <c r="D98" s="2" t="s">
        <v>22</v>
      </c>
      <c r="K98" s="6" t="str">
        <f t="shared" si="77"/>
        <v/>
      </c>
      <c r="O98" s="6" t="str">
        <f t="shared" si="78"/>
        <v/>
      </c>
      <c r="P98" s="35" t="str">
        <f t="shared" si="56"/>
        <v/>
      </c>
      <c r="Q98" s="102" t="str">
        <f t="shared" si="57"/>
        <v/>
      </c>
      <c r="R98" s="102" t="str">
        <f t="shared" ca="1" si="58"/>
        <v/>
      </c>
      <c r="S98" s="112" t="str">
        <f t="shared" si="79"/>
        <v/>
      </c>
      <c r="T98" s="112" t="str">
        <f t="shared" ca="1" si="59"/>
        <v/>
      </c>
      <c r="U98" s="1" t="str">
        <f t="shared" si="80"/>
        <v/>
      </c>
      <c r="V98" s="1" t="str">
        <f t="shared" ca="1" si="60"/>
        <v/>
      </c>
      <c r="W98" s="34" t="str">
        <f t="shared" ca="1" si="81"/>
        <v/>
      </c>
      <c r="Y98" s="2">
        <v>93</v>
      </c>
      <c r="Z98" s="6" t="str">
        <f t="shared" si="82"/>
        <v/>
      </c>
      <c r="AA98" s="139" t="str">
        <f>IF($E$5="Uniform Inputs",IF($Z98&gt;$E$12,"",MIN($E$21,($I$5+'Cash Flows'!$BX$8+INDEX('Cash Flows'!$C$19:$BW$19,1,MATCH(EOMONTH(AB98,MOD(-MONTH(AB98),3)-3),'Cash Flows'!$C$4:$BW$4,0)))/$E$12)),IF(AF98&gt;0,AF98,""))</f>
        <v/>
      </c>
      <c r="AB98" s="112" t="str">
        <f t="shared" si="83"/>
        <v/>
      </c>
      <c r="AC98" s="139" t="str">
        <f>IFERROR(IF($Z98&gt;$E$12,"",IF($E$5="Uniform Inputs",INDEX($D$45:$E$53,MATCH($AA$3,$B$45:$B$53,0),MATCH(AC$4,$D$44:$E$44,0)),IF(AH98=0,"",AH98))),"")</f>
        <v/>
      </c>
      <c r="AD98" s="139" t="str">
        <f>IFERROR(IF($Z98&gt;$E$12,"",IF($E$5="Uniform Inputs",INDEX($D$45:$E$53,MATCH($AA$3,$B$45:$B$53,0),MATCH(AD$4,$D$44:$E$44,0)),IF(AI98=0,"",AI98))),"")</f>
        <v/>
      </c>
      <c r="AE98" s="10" t="str">
        <f t="shared" si="84"/>
        <v/>
      </c>
      <c r="AF98" s="11" t="s">
        <v>22</v>
      </c>
      <c r="AG98" s="168" t="s">
        <v>22</v>
      </c>
      <c r="AH98" s="11" t="s">
        <v>22</v>
      </c>
      <c r="AI98" s="11" t="s">
        <v>22</v>
      </c>
      <c r="AJ98" s="139" t="str">
        <f>IF($E$5="Uniform Inputs",IF($Z98&gt;$E$13,"",IF($E$23="Pro-Rata",MIN(AL98*AE98,(($I$5+'Cash Flows'!$BX$8+INDEX('Cash Flows'!$C$19:$BW$19,1,MATCH(EOMONTH(AK98,MOD(-MONTH(AK98),3)-3),'Cash Flows'!$C$4:$BW$4,0)))-$AA$5)/$E$13),MIN($E$24,(($I$5+'Cash Flows'!$BX$8+INDEX('Cash Flows'!$C$19:$BW$19,1,MATCH(EOMONTH(AK98,MOD(-MONTH(AK98),3)-3),'Cash Flows'!$C$4:$BW$4,0)))-$AA$5)/$E$13))),IF(AO98=0,"",AO98))</f>
        <v/>
      </c>
      <c r="AK98" s="112" t="str">
        <f t="shared" si="61"/>
        <v/>
      </c>
      <c r="AL98" s="139" t="str">
        <f>IFERROR(IF($Z98&gt;$E$12,"",IF($E$5="Uniform Inputs",INDEX($D$45:$E$53,MATCH($AJ$3,$B$45:$B$53,0),MATCH(AL$4,$D$44:$E$44,0)),IF(AQ98=0,"",AQ98))),"")</f>
        <v/>
      </c>
      <c r="AM98" s="139" t="str">
        <f>IFERROR(IF($Z98&gt;$E$12,"",IF($E$5="Uniform Inputs",INDEX($D$45:$E$53,MATCH($AJ$3,$B$45:$B$53,0),MATCH(AM$4,$D$44:$E$44,0)),IF(AR98=0,"",AR98))),"")</f>
        <v/>
      </c>
      <c r="AN98" s="10" t="str">
        <f t="shared" si="62"/>
        <v/>
      </c>
      <c r="AO98" s="11" t="s">
        <v>22</v>
      </c>
      <c r="AP98" s="168" t="s">
        <v>22</v>
      </c>
      <c r="AQ98" s="11" t="s">
        <v>22</v>
      </c>
      <c r="AR98" s="11" t="s">
        <v>22</v>
      </c>
      <c r="AS98" s="139" t="str">
        <f>IF($E$5="Uniform Inputs",IF($Z98&gt;$E$14,"",IF($E$23="Pro-Rata",MIN(AU98*AN98,(($I$5+'Cash Flows'!$BX$8+INDEX('Cash Flows'!$C$19:$BW$19,1,MATCH(EOMONTH(AT98,MOD(-MONTH(AT98),3)-3),'Cash Flows'!$C$4:$BW$4,0)))-SUM($AJ$5,$AA$5))/$E$14),MIN($E$25,(($I$5+'Cash Flows'!$BX$8+INDEX('Cash Flows'!$C$19:$BW$19,1,MATCH(EOMONTH(AT98,MOD(-MONTH(AT98),3)-3),'Cash Flows'!$C$4:$BW$4,0)))-SUM($AJ$5,$AA$5))/$E$14))),IF(AX98=0,"",AX98))</f>
        <v/>
      </c>
      <c r="AT98" s="112" t="str">
        <f t="shared" si="63"/>
        <v/>
      </c>
      <c r="AU98" s="139" t="str">
        <f>IFERROR(IF($Z98&gt;$E$12,"",IF($E$5="Uniform Inputs",INDEX($D$45:$E$53,MATCH($AS$3,$B$45:$B$53,0),MATCH(AU$4,$D$44:$E$44,0)),IF(AZ98=0,"",AZ98))),"")</f>
        <v/>
      </c>
      <c r="AV98" s="139" t="str">
        <f>IFERROR(IF($Z98&gt;$E$12,"",IF($E$5="Uniform Inputs",INDEX($D$45:$E$53,MATCH($AS$3,$B$45:$B$53,0),MATCH(AV$4,$D$44:$E$44,0)),IF(BA98=0,"",BA98))),"")</f>
        <v/>
      </c>
      <c r="AW98" s="10" t="str">
        <f t="shared" si="64"/>
        <v/>
      </c>
      <c r="AX98" s="11" t="s">
        <v>22</v>
      </c>
      <c r="AY98" s="168" t="s">
        <v>22</v>
      </c>
      <c r="AZ98" s="11" t="s">
        <v>22</v>
      </c>
      <c r="BA98" s="11" t="s">
        <v>22</v>
      </c>
      <c r="BB98" s="139" t="str">
        <f>IF($E$5="Uniform Inputs",IF($Z98&gt;$E$15,"",IF($E$23="Pro-Rata",MIN(BD98*AW98,(($I$5+'Cash Flows'!$BX$8+INDEX('Cash Flows'!$C$19:$BW$19,1,MATCH(EOMONTH(BC98,MOD(-MONTH(BC98),3)-3),'Cash Flows'!$C$4:$BW$4,0)))-SUM($AS$5,$AJ$5,$AA$5))/$E$15),MIN($E$26,(($I$5+'Cash Flows'!$BX$8+INDEX('Cash Flows'!$C$19:$BW$19,1,MATCH(EOMONTH(BC98,MOD(-MONTH(BC98),3)-3),'Cash Flows'!$C$4:$BW$4,0)))-SUM($AS$5,$AJ$5,$AA$5))/$E$15))),IF(BG98=0,"",BG98))</f>
        <v/>
      </c>
      <c r="BC98" s="112" t="str">
        <f t="shared" si="65"/>
        <v/>
      </c>
      <c r="BD98" s="139" t="str">
        <f>IFERROR(IF($Z98&gt;$E$12,"",IF($E$5="Uniform Inputs",INDEX($D$45:$E$53,MATCH($BB$3,$B$45:$B$53,0),MATCH(BD$4,$D$44:$E$44,0)),IF(BI98=0,"",BI98))),"")</f>
        <v/>
      </c>
      <c r="BE98" s="139" t="str">
        <f>IFERROR(IF($Z98&gt;$E$12,"",IF($E$5="Uniform Inputs",INDEX($D$45:$E$53,MATCH($BB$3,$B$45:$B$53,0),MATCH(BE$4,$D$44:$E$44,0)),IF(BJ98=0,"",BJ98))),"")</f>
        <v/>
      </c>
      <c r="BF98" s="10" t="str">
        <f t="shared" si="66"/>
        <v/>
      </c>
      <c r="BG98" s="11" t="s">
        <v>22</v>
      </c>
      <c r="BH98" s="168" t="s">
        <v>22</v>
      </c>
      <c r="BI98" s="11" t="s">
        <v>22</v>
      </c>
      <c r="BJ98" s="11" t="s">
        <v>22</v>
      </c>
      <c r="BK98" s="139" t="str">
        <f>IF($E$5="Uniform Inputs",IF($Z98&gt;$E$16,"",IF($E$23="Pro-Rata",MIN(BM98*BF98,(($I$5+'Cash Flows'!$BX$8+INDEX('Cash Flows'!$C$19:$BW$19,1,MATCH(EOMONTH(BL98,MOD(-MONTH(BL98),3)-3),'Cash Flows'!$C$4:$BW$4,0)))-SUM($BB$5,$AS$5,$AJ$5,$AA$5))/$E$16),MIN($E$27,(($I$5+'Cash Flows'!$BX$8+INDEX('Cash Flows'!$C$19:$BW$19,1,MATCH(EOMONTH(BL98,MOD(-MONTH(BL98),3)-3),'Cash Flows'!$C$4:$BW$4,0)))-SUM($BB$5,$AS$5,$AJ$5,$AA$5))/$E$16))),IF(BP98=0,"",BP98))</f>
        <v/>
      </c>
      <c r="BL98" s="112" t="str">
        <f t="shared" si="67"/>
        <v/>
      </c>
      <c r="BM98" s="139" t="str">
        <f>IFERROR(IF($Z98&gt;$E$12,"",IF($E$5="Uniform Inputs",INDEX($D$45:$E$53,MATCH($BK$3,$B$45:$B$53,0),MATCH(BM$4,$D$44:$E$44,0)),IF(BR98=0,"",BR98))),"")</f>
        <v/>
      </c>
      <c r="BN98" s="139" t="str">
        <f>IFERROR(IF($Z98&gt;$E$12,"",IF($E$5="Uniform Inputs",INDEX($D$45:$E$53,MATCH($BK$3,$B$45:$B$53,0),MATCH(BN$4,$D$44:$E$44,0)),IF(BS98=0,"",BS98))),"")</f>
        <v/>
      </c>
      <c r="BO98" s="10" t="str">
        <f t="shared" si="68"/>
        <v/>
      </c>
      <c r="BP98" s="11" t="s">
        <v>22</v>
      </c>
      <c r="BQ98" s="168" t="s">
        <v>22</v>
      </c>
      <c r="BR98" s="11" t="s">
        <v>22</v>
      </c>
      <c r="BS98" s="11" t="s">
        <v>22</v>
      </c>
      <c r="BT98" s="139" t="str">
        <f t="shared" si="85"/>
        <v/>
      </c>
      <c r="BU98" s="112" t="str">
        <f t="shared" si="69"/>
        <v/>
      </c>
      <c r="BV98" s="139" t="str">
        <f>IFERROR(IF($Z98&gt;$E$12,"",IF($E$5="Uniform Inputs",INDEX($D$45:$E$53,MATCH($BT$3,$B$45:$B$53,0),MATCH(BV$4,$D$44:$E$44,0)),IF(CA98=0,"",CA98))),"")</f>
        <v/>
      </c>
      <c r="BW98" s="139" t="str">
        <f>IFERROR(IF($Z98&gt;$E$12,"",IF($E$5="Uniform Inputs",INDEX($D$45:$E$53,MATCH($BT$3,$B$45:$B$53,0),MATCH(BW$4,$D$44:$E$44,0)),IF(CB98=0,"",CB98))),"")</f>
        <v/>
      </c>
      <c r="BX98" s="10" t="str">
        <f t="shared" si="70"/>
        <v/>
      </c>
      <c r="BY98" s="11" t="s">
        <v>22</v>
      </c>
      <c r="BZ98" s="168" t="s">
        <v>22</v>
      </c>
      <c r="CA98" s="11" t="s">
        <v>22</v>
      </c>
      <c r="CB98" s="11" t="s">
        <v>22</v>
      </c>
      <c r="CC98" s="139" t="str">
        <f t="shared" si="86"/>
        <v/>
      </c>
      <c r="CD98" s="112" t="str">
        <f t="shared" si="71"/>
        <v/>
      </c>
      <c r="CE98" s="139" t="str">
        <f>IFERROR(IF($Z98&gt;$E$12,"",IF($E$5="Uniform Inputs",INDEX($D$45:$E$53,MATCH($CC$3,$B$45:$B$53,0),MATCH(CE$4,$D$44:$E$44,0)),IF(CJ98=0,"",CJ98))),"")</f>
        <v/>
      </c>
      <c r="CF98" s="139" t="str">
        <f>IFERROR(IF($Z98&gt;$E$12,"",IF($E$5="Uniform Inputs",INDEX($D$45:$E$53,MATCH($CC$3,$B$45:$B$53,0),MATCH(CF$4,$D$44:$E$44,0)),IF(CK98=0,"",CK98))),"")</f>
        <v/>
      </c>
      <c r="CG98" s="10" t="str">
        <f t="shared" si="72"/>
        <v/>
      </c>
      <c r="CH98" s="11" t="s">
        <v>22</v>
      </c>
      <c r="CI98" s="168" t="s">
        <v>22</v>
      </c>
      <c r="CJ98" s="11" t="s">
        <v>22</v>
      </c>
      <c r="CK98" s="11" t="s">
        <v>22</v>
      </c>
      <c r="CL98" s="139" t="str">
        <f t="shared" si="87"/>
        <v/>
      </c>
      <c r="CM98" s="112" t="str">
        <f t="shared" si="73"/>
        <v/>
      </c>
      <c r="CN98" s="139" t="str">
        <f>IFERROR(IF($Z98&gt;$E$12,"",IF($E$5="Uniform Inputs",INDEX($D$45:$E$53,MATCH($CL$3,$B$45:$B$53,0),MATCH(CN$4,$D$44:$E$44,0)),IF(CS98=0,"",CS98))),"")</f>
        <v/>
      </c>
      <c r="CO98" s="139" t="str">
        <f>IFERROR(IF($Z98&gt;$E$12,"",IF($E$5="Uniform Inputs",INDEX($D$45:$E$53,MATCH($CL$3,$B$45:$B$53,0),MATCH(CO$4,$D$44:$E$44,0)),IF(CT98=0,"",CT98))),"")</f>
        <v/>
      </c>
      <c r="CP98" s="10" t="str">
        <f t="shared" si="74"/>
        <v/>
      </c>
      <c r="CQ98" s="11" t="s">
        <v>22</v>
      </c>
      <c r="CR98" s="168" t="s">
        <v>22</v>
      </c>
      <c r="CS98" s="11" t="s">
        <v>22</v>
      </c>
      <c r="CT98" s="11" t="s">
        <v>22</v>
      </c>
      <c r="CU98" s="139" t="str">
        <f t="shared" si="88"/>
        <v/>
      </c>
      <c r="CV98" s="112" t="str">
        <f t="shared" si="75"/>
        <v/>
      </c>
      <c r="CW98" s="139" t="str">
        <f>IFERROR(IF($Z98&gt;$E$12,"",IF($E$5="Uniform Inputs",INDEX($D$45:$E$53,MATCH($CU$3,$B$45:$B$53,0),MATCH(CW$4,$D$44:$E$44,0)),IF(DB98=0,"",DB98))),"")</f>
        <v/>
      </c>
      <c r="CX98" s="139" t="str">
        <f>IFERROR(IF($Z98&gt;$E$12,"",IF($E$5="Uniform Inputs",INDEX($D$45:$E$53,MATCH($CU$3,$B$45:$B$53,0),MATCH(CX$4,$D$44:$E$44,0)),IF(DC98=0,"",DC98))),"")</f>
        <v/>
      </c>
      <c r="CY98" s="10" t="str">
        <f t="shared" si="76"/>
        <v/>
      </c>
      <c r="CZ98" s="11" t="s">
        <v>22</v>
      </c>
      <c r="DA98" s="168" t="s">
        <v>22</v>
      </c>
      <c r="DB98" s="11" t="s">
        <v>22</v>
      </c>
      <c r="DC98" s="11" t="s">
        <v>22</v>
      </c>
    </row>
    <row r="99" spans="2:107" x14ac:dyDescent="0.25">
      <c r="B99" s="3" t="s">
        <v>22</v>
      </c>
      <c r="C99" s="3" t="s">
        <v>22</v>
      </c>
      <c r="D99" s="2" t="s">
        <v>22</v>
      </c>
      <c r="K99" s="6" t="str">
        <f t="shared" si="77"/>
        <v/>
      </c>
      <c r="O99" s="6" t="str">
        <f t="shared" si="78"/>
        <v/>
      </c>
      <c r="P99" s="35" t="str">
        <f t="shared" si="56"/>
        <v/>
      </c>
      <c r="Q99" s="102" t="str">
        <f t="shared" si="57"/>
        <v/>
      </c>
      <c r="R99" s="102" t="str">
        <f t="shared" ca="1" si="58"/>
        <v/>
      </c>
      <c r="S99" s="112" t="str">
        <f t="shared" si="79"/>
        <v/>
      </c>
      <c r="T99" s="112" t="str">
        <f t="shared" ca="1" si="59"/>
        <v/>
      </c>
      <c r="U99" s="1" t="str">
        <f t="shared" si="80"/>
        <v/>
      </c>
      <c r="V99" s="1" t="str">
        <f t="shared" ca="1" si="60"/>
        <v/>
      </c>
      <c r="W99" s="34" t="str">
        <f t="shared" ca="1" si="81"/>
        <v/>
      </c>
      <c r="Y99" s="2">
        <v>94</v>
      </c>
      <c r="Z99" s="6" t="str">
        <f t="shared" si="82"/>
        <v/>
      </c>
      <c r="AA99" s="139" t="str">
        <f>IF($E$5="Uniform Inputs",IF($Z99&gt;$E$12,"",MIN($E$21,($I$5+'Cash Flows'!$BX$8+INDEX('Cash Flows'!$C$19:$BW$19,1,MATCH(EOMONTH(AB99,MOD(-MONTH(AB99),3)-3),'Cash Flows'!$C$4:$BW$4,0)))/$E$12)),IF(AF99&gt;0,AF99,""))</f>
        <v/>
      </c>
      <c r="AB99" s="112" t="str">
        <f t="shared" si="83"/>
        <v/>
      </c>
      <c r="AC99" s="139" t="str">
        <f>IFERROR(IF($Z99&gt;$E$12,"",IF($E$5="Uniform Inputs",INDEX($D$45:$E$53,MATCH($AA$3,$B$45:$B$53,0),MATCH(AC$4,$D$44:$E$44,0)),IF(AH99=0,"",AH99))),"")</f>
        <v/>
      </c>
      <c r="AD99" s="139" t="str">
        <f>IFERROR(IF($Z99&gt;$E$12,"",IF($E$5="Uniform Inputs",INDEX($D$45:$E$53,MATCH($AA$3,$B$45:$B$53,0),MATCH(AD$4,$D$44:$E$44,0)),IF(AI99=0,"",AI99))),"")</f>
        <v/>
      </c>
      <c r="AE99" s="10" t="str">
        <f t="shared" si="84"/>
        <v/>
      </c>
      <c r="AF99" s="11" t="s">
        <v>22</v>
      </c>
      <c r="AG99" s="168" t="s">
        <v>22</v>
      </c>
      <c r="AH99" s="11" t="s">
        <v>22</v>
      </c>
      <c r="AI99" s="11" t="s">
        <v>22</v>
      </c>
      <c r="AJ99" s="139" t="str">
        <f>IF($E$5="Uniform Inputs",IF($Z99&gt;$E$13,"",IF($E$23="Pro-Rata",MIN(AL99*AE99,(($I$5+'Cash Flows'!$BX$8+INDEX('Cash Flows'!$C$19:$BW$19,1,MATCH(EOMONTH(AK99,MOD(-MONTH(AK99),3)-3),'Cash Flows'!$C$4:$BW$4,0)))-$AA$5)/$E$13),MIN($E$24,(($I$5+'Cash Flows'!$BX$8+INDEX('Cash Flows'!$C$19:$BW$19,1,MATCH(EOMONTH(AK99,MOD(-MONTH(AK99),3)-3),'Cash Flows'!$C$4:$BW$4,0)))-$AA$5)/$E$13))),IF(AO99=0,"",AO99))</f>
        <v/>
      </c>
      <c r="AK99" s="112" t="str">
        <f t="shared" si="61"/>
        <v/>
      </c>
      <c r="AL99" s="139" t="str">
        <f>IFERROR(IF($Z99&gt;$E$12,"",IF($E$5="Uniform Inputs",INDEX($D$45:$E$53,MATCH($AJ$3,$B$45:$B$53,0),MATCH(AL$4,$D$44:$E$44,0)),IF(AQ99=0,"",AQ99))),"")</f>
        <v/>
      </c>
      <c r="AM99" s="139" t="str">
        <f>IFERROR(IF($Z99&gt;$E$12,"",IF($E$5="Uniform Inputs",INDEX($D$45:$E$53,MATCH($AJ$3,$B$45:$B$53,0),MATCH(AM$4,$D$44:$E$44,0)),IF(AR99=0,"",AR99))),"")</f>
        <v/>
      </c>
      <c r="AN99" s="10" t="str">
        <f t="shared" si="62"/>
        <v/>
      </c>
      <c r="AO99" s="11" t="s">
        <v>22</v>
      </c>
      <c r="AP99" s="168" t="s">
        <v>22</v>
      </c>
      <c r="AQ99" s="11" t="s">
        <v>22</v>
      </c>
      <c r="AR99" s="11" t="s">
        <v>22</v>
      </c>
      <c r="AS99" s="139" t="str">
        <f>IF($E$5="Uniform Inputs",IF($Z99&gt;$E$14,"",IF($E$23="Pro-Rata",MIN(AU99*AN99,(($I$5+'Cash Flows'!$BX$8+INDEX('Cash Flows'!$C$19:$BW$19,1,MATCH(EOMONTH(AT99,MOD(-MONTH(AT99),3)-3),'Cash Flows'!$C$4:$BW$4,0)))-SUM($AJ$5,$AA$5))/$E$14),MIN($E$25,(($I$5+'Cash Flows'!$BX$8+INDEX('Cash Flows'!$C$19:$BW$19,1,MATCH(EOMONTH(AT99,MOD(-MONTH(AT99),3)-3),'Cash Flows'!$C$4:$BW$4,0)))-SUM($AJ$5,$AA$5))/$E$14))),IF(AX99=0,"",AX99))</f>
        <v/>
      </c>
      <c r="AT99" s="112" t="str">
        <f t="shared" si="63"/>
        <v/>
      </c>
      <c r="AU99" s="139" t="str">
        <f>IFERROR(IF($Z99&gt;$E$12,"",IF($E$5="Uniform Inputs",INDEX($D$45:$E$53,MATCH($AS$3,$B$45:$B$53,0),MATCH(AU$4,$D$44:$E$44,0)),IF(AZ99=0,"",AZ99))),"")</f>
        <v/>
      </c>
      <c r="AV99" s="139" t="str">
        <f>IFERROR(IF($Z99&gt;$E$12,"",IF($E$5="Uniform Inputs",INDEX($D$45:$E$53,MATCH($AS$3,$B$45:$B$53,0),MATCH(AV$4,$D$44:$E$44,0)),IF(BA99=0,"",BA99))),"")</f>
        <v/>
      </c>
      <c r="AW99" s="10" t="str">
        <f t="shared" si="64"/>
        <v/>
      </c>
      <c r="AX99" s="11" t="s">
        <v>22</v>
      </c>
      <c r="AY99" s="168" t="s">
        <v>22</v>
      </c>
      <c r="AZ99" s="11" t="s">
        <v>22</v>
      </c>
      <c r="BA99" s="11" t="s">
        <v>22</v>
      </c>
      <c r="BB99" s="139" t="str">
        <f>IF($E$5="Uniform Inputs",IF($Z99&gt;$E$15,"",IF($E$23="Pro-Rata",MIN(BD99*AW99,(($I$5+'Cash Flows'!$BX$8+INDEX('Cash Flows'!$C$19:$BW$19,1,MATCH(EOMONTH(BC99,MOD(-MONTH(BC99),3)-3),'Cash Flows'!$C$4:$BW$4,0)))-SUM($AS$5,$AJ$5,$AA$5))/$E$15),MIN($E$26,(($I$5+'Cash Flows'!$BX$8+INDEX('Cash Flows'!$C$19:$BW$19,1,MATCH(EOMONTH(BC99,MOD(-MONTH(BC99),3)-3),'Cash Flows'!$C$4:$BW$4,0)))-SUM($AS$5,$AJ$5,$AA$5))/$E$15))),IF(BG99=0,"",BG99))</f>
        <v/>
      </c>
      <c r="BC99" s="112" t="str">
        <f t="shared" si="65"/>
        <v/>
      </c>
      <c r="BD99" s="139" t="str">
        <f>IFERROR(IF($Z99&gt;$E$12,"",IF($E$5="Uniform Inputs",INDEX($D$45:$E$53,MATCH($BB$3,$B$45:$B$53,0),MATCH(BD$4,$D$44:$E$44,0)),IF(BI99=0,"",BI99))),"")</f>
        <v/>
      </c>
      <c r="BE99" s="139" t="str">
        <f>IFERROR(IF($Z99&gt;$E$12,"",IF($E$5="Uniform Inputs",INDEX($D$45:$E$53,MATCH($BB$3,$B$45:$B$53,0),MATCH(BE$4,$D$44:$E$44,0)),IF(BJ99=0,"",BJ99))),"")</f>
        <v/>
      </c>
      <c r="BF99" s="10" t="str">
        <f t="shared" si="66"/>
        <v/>
      </c>
      <c r="BG99" s="11" t="s">
        <v>22</v>
      </c>
      <c r="BH99" s="168" t="s">
        <v>22</v>
      </c>
      <c r="BI99" s="11" t="s">
        <v>22</v>
      </c>
      <c r="BJ99" s="11" t="s">
        <v>22</v>
      </c>
      <c r="BK99" s="139" t="str">
        <f>IF($E$5="Uniform Inputs",IF($Z99&gt;$E$16,"",IF($E$23="Pro-Rata",MIN(BM99*BF99,(($I$5+'Cash Flows'!$BX$8+INDEX('Cash Flows'!$C$19:$BW$19,1,MATCH(EOMONTH(BL99,MOD(-MONTH(BL99),3)-3),'Cash Flows'!$C$4:$BW$4,0)))-SUM($BB$5,$AS$5,$AJ$5,$AA$5))/$E$16),MIN($E$27,(($I$5+'Cash Flows'!$BX$8+INDEX('Cash Flows'!$C$19:$BW$19,1,MATCH(EOMONTH(BL99,MOD(-MONTH(BL99),3)-3),'Cash Flows'!$C$4:$BW$4,0)))-SUM($BB$5,$AS$5,$AJ$5,$AA$5))/$E$16))),IF(BP99=0,"",BP99))</f>
        <v/>
      </c>
      <c r="BL99" s="112" t="str">
        <f t="shared" si="67"/>
        <v/>
      </c>
      <c r="BM99" s="139" t="str">
        <f>IFERROR(IF($Z99&gt;$E$12,"",IF($E$5="Uniform Inputs",INDEX($D$45:$E$53,MATCH($BK$3,$B$45:$B$53,0),MATCH(BM$4,$D$44:$E$44,0)),IF(BR99=0,"",BR99))),"")</f>
        <v/>
      </c>
      <c r="BN99" s="139" t="str">
        <f>IFERROR(IF($Z99&gt;$E$12,"",IF($E$5="Uniform Inputs",INDEX($D$45:$E$53,MATCH($BK$3,$B$45:$B$53,0),MATCH(BN$4,$D$44:$E$44,0)),IF(BS99=0,"",BS99))),"")</f>
        <v/>
      </c>
      <c r="BO99" s="10" t="str">
        <f t="shared" si="68"/>
        <v/>
      </c>
      <c r="BP99" s="11" t="s">
        <v>22</v>
      </c>
      <c r="BQ99" s="168" t="s">
        <v>22</v>
      </c>
      <c r="BR99" s="11" t="s">
        <v>22</v>
      </c>
      <c r="BS99" s="11" t="s">
        <v>22</v>
      </c>
      <c r="BT99" s="139" t="str">
        <f t="shared" si="85"/>
        <v/>
      </c>
      <c r="BU99" s="112" t="str">
        <f t="shared" si="69"/>
        <v/>
      </c>
      <c r="BV99" s="139" t="str">
        <f>IFERROR(IF($Z99&gt;$E$12,"",IF($E$5="Uniform Inputs",INDEX($D$45:$E$53,MATCH($BT$3,$B$45:$B$53,0),MATCH(BV$4,$D$44:$E$44,0)),IF(CA99=0,"",CA99))),"")</f>
        <v/>
      </c>
      <c r="BW99" s="139" t="str">
        <f>IFERROR(IF($Z99&gt;$E$12,"",IF($E$5="Uniform Inputs",INDEX($D$45:$E$53,MATCH($BT$3,$B$45:$B$53,0),MATCH(BW$4,$D$44:$E$44,0)),IF(CB99=0,"",CB99))),"")</f>
        <v/>
      </c>
      <c r="BX99" s="10" t="str">
        <f t="shared" si="70"/>
        <v/>
      </c>
      <c r="BY99" s="11" t="s">
        <v>22</v>
      </c>
      <c r="BZ99" s="168" t="s">
        <v>22</v>
      </c>
      <c r="CA99" s="11" t="s">
        <v>22</v>
      </c>
      <c r="CB99" s="11" t="s">
        <v>22</v>
      </c>
      <c r="CC99" s="139" t="str">
        <f t="shared" si="86"/>
        <v/>
      </c>
      <c r="CD99" s="112" t="str">
        <f t="shared" si="71"/>
        <v/>
      </c>
      <c r="CE99" s="139" t="str">
        <f>IFERROR(IF($Z99&gt;$E$12,"",IF($E$5="Uniform Inputs",INDEX($D$45:$E$53,MATCH($CC$3,$B$45:$B$53,0),MATCH(CE$4,$D$44:$E$44,0)),IF(CJ99=0,"",CJ99))),"")</f>
        <v/>
      </c>
      <c r="CF99" s="139" t="str">
        <f>IFERROR(IF($Z99&gt;$E$12,"",IF($E$5="Uniform Inputs",INDEX($D$45:$E$53,MATCH($CC$3,$B$45:$B$53,0),MATCH(CF$4,$D$44:$E$44,0)),IF(CK99=0,"",CK99))),"")</f>
        <v/>
      </c>
      <c r="CG99" s="10" t="str">
        <f t="shared" si="72"/>
        <v/>
      </c>
      <c r="CH99" s="11" t="s">
        <v>22</v>
      </c>
      <c r="CI99" s="168" t="s">
        <v>22</v>
      </c>
      <c r="CJ99" s="11" t="s">
        <v>22</v>
      </c>
      <c r="CK99" s="11" t="s">
        <v>22</v>
      </c>
      <c r="CL99" s="139" t="str">
        <f t="shared" si="87"/>
        <v/>
      </c>
      <c r="CM99" s="112" t="str">
        <f t="shared" si="73"/>
        <v/>
      </c>
      <c r="CN99" s="139" t="str">
        <f>IFERROR(IF($Z99&gt;$E$12,"",IF($E$5="Uniform Inputs",INDEX($D$45:$E$53,MATCH($CL$3,$B$45:$B$53,0),MATCH(CN$4,$D$44:$E$44,0)),IF(CS99=0,"",CS99))),"")</f>
        <v/>
      </c>
      <c r="CO99" s="139" t="str">
        <f>IFERROR(IF($Z99&gt;$E$12,"",IF($E$5="Uniform Inputs",INDEX($D$45:$E$53,MATCH($CL$3,$B$45:$B$53,0),MATCH(CO$4,$D$44:$E$44,0)),IF(CT99=0,"",CT99))),"")</f>
        <v/>
      </c>
      <c r="CP99" s="10" t="str">
        <f t="shared" si="74"/>
        <v/>
      </c>
      <c r="CQ99" s="11" t="s">
        <v>22</v>
      </c>
      <c r="CR99" s="168" t="s">
        <v>22</v>
      </c>
      <c r="CS99" s="11" t="s">
        <v>22</v>
      </c>
      <c r="CT99" s="11" t="s">
        <v>22</v>
      </c>
      <c r="CU99" s="139" t="str">
        <f t="shared" si="88"/>
        <v/>
      </c>
      <c r="CV99" s="112" t="str">
        <f t="shared" si="75"/>
        <v/>
      </c>
      <c r="CW99" s="139" t="str">
        <f>IFERROR(IF($Z99&gt;$E$12,"",IF($E$5="Uniform Inputs",INDEX($D$45:$E$53,MATCH($CU$3,$B$45:$B$53,0),MATCH(CW$4,$D$44:$E$44,0)),IF(DB99=0,"",DB99))),"")</f>
        <v/>
      </c>
      <c r="CX99" s="139" t="str">
        <f>IFERROR(IF($Z99&gt;$E$12,"",IF($E$5="Uniform Inputs",INDEX($D$45:$E$53,MATCH($CU$3,$B$45:$B$53,0),MATCH(CX$4,$D$44:$E$44,0)),IF(DC99=0,"",DC99))),"")</f>
        <v/>
      </c>
      <c r="CY99" s="10" t="str">
        <f t="shared" si="76"/>
        <v/>
      </c>
      <c r="CZ99" s="11" t="s">
        <v>22</v>
      </c>
      <c r="DA99" s="168" t="s">
        <v>22</v>
      </c>
      <c r="DB99" s="11" t="s">
        <v>22</v>
      </c>
      <c r="DC99" s="11" t="s">
        <v>22</v>
      </c>
    </row>
    <row r="100" spans="2:107" x14ac:dyDescent="0.25">
      <c r="B100" s="3" t="s">
        <v>22</v>
      </c>
      <c r="C100" s="3" t="s">
        <v>22</v>
      </c>
      <c r="D100" s="2" t="s">
        <v>22</v>
      </c>
      <c r="K100" s="6" t="str">
        <f t="shared" si="77"/>
        <v/>
      </c>
      <c r="O100" s="6" t="str">
        <f t="shared" si="78"/>
        <v/>
      </c>
      <c r="P100" s="35" t="str">
        <f t="shared" si="56"/>
        <v/>
      </c>
      <c r="Q100" s="102" t="str">
        <f t="shared" si="57"/>
        <v/>
      </c>
      <c r="R100" s="102" t="str">
        <f t="shared" ca="1" si="58"/>
        <v/>
      </c>
      <c r="S100" s="112" t="str">
        <f t="shared" si="79"/>
        <v/>
      </c>
      <c r="T100" s="112" t="str">
        <f t="shared" ca="1" si="59"/>
        <v/>
      </c>
      <c r="U100" s="1" t="str">
        <f t="shared" si="80"/>
        <v/>
      </c>
      <c r="V100" s="1" t="str">
        <f t="shared" ca="1" si="60"/>
        <v/>
      </c>
      <c r="W100" s="34" t="str">
        <f t="shared" ca="1" si="81"/>
        <v/>
      </c>
      <c r="Y100" s="2">
        <v>95</v>
      </c>
      <c r="Z100" s="6" t="str">
        <f t="shared" si="82"/>
        <v/>
      </c>
      <c r="AA100" s="139" t="str">
        <f>IF($E$5="Uniform Inputs",IF($Z100&gt;$E$12,"",MIN($E$21,($I$5+'Cash Flows'!$BX$8+INDEX('Cash Flows'!$C$19:$BW$19,1,MATCH(EOMONTH(AB100,MOD(-MONTH(AB100),3)-3),'Cash Flows'!$C$4:$BW$4,0)))/$E$12)),IF(AF100&gt;0,AF100,""))</f>
        <v/>
      </c>
      <c r="AB100" s="112" t="str">
        <f t="shared" si="83"/>
        <v/>
      </c>
      <c r="AC100" s="139" t="str">
        <f>IFERROR(IF($Z100&gt;$E$12,"",IF($E$5="Uniform Inputs",INDEX($D$45:$E$53,MATCH($AA$3,$B$45:$B$53,0),MATCH(AC$4,$D$44:$E$44,0)),IF(AH100=0,"",AH100))),"")</f>
        <v/>
      </c>
      <c r="AD100" s="139" t="str">
        <f>IFERROR(IF($Z100&gt;$E$12,"",IF($E$5="Uniform Inputs",INDEX($D$45:$E$53,MATCH($AA$3,$B$45:$B$53,0),MATCH(AD$4,$D$44:$E$44,0)),IF(AI100=0,"",AI100))),"")</f>
        <v/>
      </c>
      <c r="AE100" s="10" t="str">
        <f t="shared" si="84"/>
        <v/>
      </c>
      <c r="AF100" s="11" t="s">
        <v>22</v>
      </c>
      <c r="AG100" s="168" t="s">
        <v>22</v>
      </c>
      <c r="AH100" s="11" t="s">
        <v>22</v>
      </c>
      <c r="AI100" s="11" t="s">
        <v>22</v>
      </c>
      <c r="AJ100" s="139" t="str">
        <f>IF($E$5="Uniform Inputs",IF($Z100&gt;$E$13,"",IF($E$23="Pro-Rata",MIN(AL100*AE100,(($I$5+'Cash Flows'!$BX$8+INDEX('Cash Flows'!$C$19:$BW$19,1,MATCH(EOMONTH(AK100,MOD(-MONTH(AK100),3)-3),'Cash Flows'!$C$4:$BW$4,0)))-$AA$5)/$E$13),MIN($E$24,(($I$5+'Cash Flows'!$BX$8+INDEX('Cash Flows'!$C$19:$BW$19,1,MATCH(EOMONTH(AK100,MOD(-MONTH(AK100),3)-3),'Cash Flows'!$C$4:$BW$4,0)))-$AA$5)/$E$13))),IF(AO100=0,"",AO100))</f>
        <v/>
      </c>
      <c r="AK100" s="112" t="str">
        <f t="shared" si="61"/>
        <v/>
      </c>
      <c r="AL100" s="139" t="str">
        <f>IFERROR(IF($Z100&gt;$E$12,"",IF($E$5="Uniform Inputs",INDEX($D$45:$E$53,MATCH($AJ$3,$B$45:$B$53,0),MATCH(AL$4,$D$44:$E$44,0)),IF(AQ100=0,"",AQ100))),"")</f>
        <v/>
      </c>
      <c r="AM100" s="139" t="str">
        <f>IFERROR(IF($Z100&gt;$E$12,"",IF($E$5="Uniform Inputs",INDEX($D$45:$E$53,MATCH($AJ$3,$B$45:$B$53,0),MATCH(AM$4,$D$44:$E$44,0)),IF(AR100=0,"",AR100))),"")</f>
        <v/>
      </c>
      <c r="AN100" s="10" t="str">
        <f t="shared" si="62"/>
        <v/>
      </c>
      <c r="AO100" s="11" t="s">
        <v>22</v>
      </c>
      <c r="AP100" s="168" t="s">
        <v>22</v>
      </c>
      <c r="AQ100" s="11" t="s">
        <v>22</v>
      </c>
      <c r="AR100" s="11" t="s">
        <v>22</v>
      </c>
      <c r="AS100" s="139" t="str">
        <f>IF($E$5="Uniform Inputs",IF($Z100&gt;$E$14,"",IF($E$23="Pro-Rata",MIN(AU100*AN100,(($I$5+'Cash Flows'!$BX$8+INDEX('Cash Flows'!$C$19:$BW$19,1,MATCH(EOMONTH(AT100,MOD(-MONTH(AT100),3)-3),'Cash Flows'!$C$4:$BW$4,0)))-SUM($AJ$5,$AA$5))/$E$14),MIN($E$25,(($I$5+'Cash Flows'!$BX$8+INDEX('Cash Flows'!$C$19:$BW$19,1,MATCH(EOMONTH(AT100,MOD(-MONTH(AT100),3)-3),'Cash Flows'!$C$4:$BW$4,0)))-SUM($AJ$5,$AA$5))/$E$14))),IF(AX100=0,"",AX100))</f>
        <v/>
      </c>
      <c r="AT100" s="112" t="str">
        <f t="shared" si="63"/>
        <v/>
      </c>
      <c r="AU100" s="139" t="str">
        <f>IFERROR(IF($Z100&gt;$E$12,"",IF($E$5="Uniform Inputs",INDEX($D$45:$E$53,MATCH($AS$3,$B$45:$B$53,0),MATCH(AU$4,$D$44:$E$44,0)),IF(AZ100=0,"",AZ100))),"")</f>
        <v/>
      </c>
      <c r="AV100" s="139" t="str">
        <f>IFERROR(IF($Z100&gt;$E$12,"",IF($E$5="Uniform Inputs",INDEX($D$45:$E$53,MATCH($AS$3,$B$45:$B$53,0),MATCH(AV$4,$D$44:$E$44,0)),IF(BA100=0,"",BA100))),"")</f>
        <v/>
      </c>
      <c r="AW100" s="10" t="str">
        <f t="shared" si="64"/>
        <v/>
      </c>
      <c r="AX100" s="11" t="s">
        <v>22</v>
      </c>
      <c r="AY100" s="168" t="s">
        <v>22</v>
      </c>
      <c r="AZ100" s="11" t="s">
        <v>22</v>
      </c>
      <c r="BA100" s="11" t="s">
        <v>22</v>
      </c>
      <c r="BB100" s="139" t="str">
        <f>IF($E$5="Uniform Inputs",IF($Z100&gt;$E$15,"",IF($E$23="Pro-Rata",MIN(BD100*AW100,(($I$5+'Cash Flows'!$BX$8+INDEX('Cash Flows'!$C$19:$BW$19,1,MATCH(EOMONTH(BC100,MOD(-MONTH(BC100),3)-3),'Cash Flows'!$C$4:$BW$4,0)))-SUM($AS$5,$AJ$5,$AA$5))/$E$15),MIN($E$26,(($I$5+'Cash Flows'!$BX$8+INDEX('Cash Flows'!$C$19:$BW$19,1,MATCH(EOMONTH(BC100,MOD(-MONTH(BC100),3)-3),'Cash Flows'!$C$4:$BW$4,0)))-SUM($AS$5,$AJ$5,$AA$5))/$E$15))),IF(BG100=0,"",BG100))</f>
        <v/>
      </c>
      <c r="BC100" s="112" t="str">
        <f t="shared" si="65"/>
        <v/>
      </c>
      <c r="BD100" s="139" t="str">
        <f>IFERROR(IF($Z100&gt;$E$12,"",IF($E$5="Uniform Inputs",INDEX($D$45:$E$53,MATCH($BB$3,$B$45:$B$53,0),MATCH(BD$4,$D$44:$E$44,0)),IF(BI100=0,"",BI100))),"")</f>
        <v/>
      </c>
      <c r="BE100" s="139" t="str">
        <f>IFERROR(IF($Z100&gt;$E$12,"",IF($E$5="Uniform Inputs",INDEX($D$45:$E$53,MATCH($BB$3,$B$45:$B$53,0),MATCH(BE$4,$D$44:$E$44,0)),IF(BJ100=0,"",BJ100))),"")</f>
        <v/>
      </c>
      <c r="BF100" s="10" t="str">
        <f t="shared" si="66"/>
        <v/>
      </c>
      <c r="BG100" s="11" t="s">
        <v>22</v>
      </c>
      <c r="BH100" s="168" t="s">
        <v>22</v>
      </c>
      <c r="BI100" s="11" t="s">
        <v>22</v>
      </c>
      <c r="BJ100" s="11" t="s">
        <v>22</v>
      </c>
      <c r="BK100" s="139" t="str">
        <f>IF($E$5="Uniform Inputs",IF($Z100&gt;$E$16,"",IF($E$23="Pro-Rata",MIN(BM100*BF100,(($I$5+'Cash Flows'!$BX$8+INDEX('Cash Flows'!$C$19:$BW$19,1,MATCH(EOMONTH(BL100,MOD(-MONTH(BL100),3)-3),'Cash Flows'!$C$4:$BW$4,0)))-SUM($BB$5,$AS$5,$AJ$5,$AA$5))/$E$16),MIN($E$27,(($I$5+'Cash Flows'!$BX$8+INDEX('Cash Flows'!$C$19:$BW$19,1,MATCH(EOMONTH(BL100,MOD(-MONTH(BL100),3)-3),'Cash Flows'!$C$4:$BW$4,0)))-SUM($BB$5,$AS$5,$AJ$5,$AA$5))/$E$16))),IF(BP100=0,"",BP100))</f>
        <v/>
      </c>
      <c r="BL100" s="112" t="str">
        <f t="shared" si="67"/>
        <v/>
      </c>
      <c r="BM100" s="139" t="str">
        <f>IFERROR(IF($Z100&gt;$E$12,"",IF($E$5="Uniform Inputs",INDEX($D$45:$E$53,MATCH($BK$3,$B$45:$B$53,0),MATCH(BM$4,$D$44:$E$44,0)),IF(BR100=0,"",BR100))),"")</f>
        <v/>
      </c>
      <c r="BN100" s="139" t="str">
        <f>IFERROR(IF($Z100&gt;$E$12,"",IF($E$5="Uniform Inputs",INDEX($D$45:$E$53,MATCH($BK$3,$B$45:$B$53,0),MATCH(BN$4,$D$44:$E$44,0)),IF(BS100=0,"",BS100))),"")</f>
        <v/>
      </c>
      <c r="BO100" s="10" t="str">
        <f t="shared" si="68"/>
        <v/>
      </c>
      <c r="BP100" s="11" t="s">
        <v>22</v>
      </c>
      <c r="BQ100" s="168" t="s">
        <v>22</v>
      </c>
      <c r="BR100" s="11" t="s">
        <v>22</v>
      </c>
      <c r="BS100" s="11" t="s">
        <v>22</v>
      </c>
      <c r="BT100" s="139" t="str">
        <f t="shared" si="85"/>
        <v/>
      </c>
      <c r="BU100" s="112" t="str">
        <f t="shared" si="69"/>
        <v/>
      </c>
      <c r="BV100" s="139" t="str">
        <f>IFERROR(IF($Z100&gt;$E$12,"",IF($E$5="Uniform Inputs",INDEX($D$45:$E$53,MATCH($BT$3,$B$45:$B$53,0),MATCH(BV$4,$D$44:$E$44,0)),IF(CA100=0,"",CA100))),"")</f>
        <v/>
      </c>
      <c r="BW100" s="139" t="str">
        <f>IFERROR(IF($Z100&gt;$E$12,"",IF($E$5="Uniform Inputs",INDEX($D$45:$E$53,MATCH($BT$3,$B$45:$B$53,0),MATCH(BW$4,$D$44:$E$44,0)),IF(CB100=0,"",CB100))),"")</f>
        <v/>
      </c>
      <c r="BX100" s="10" t="str">
        <f t="shared" si="70"/>
        <v/>
      </c>
      <c r="BY100" s="11" t="s">
        <v>22</v>
      </c>
      <c r="BZ100" s="168" t="s">
        <v>22</v>
      </c>
      <c r="CA100" s="11" t="s">
        <v>22</v>
      </c>
      <c r="CB100" s="11" t="s">
        <v>22</v>
      </c>
      <c r="CC100" s="139" t="str">
        <f t="shared" si="86"/>
        <v/>
      </c>
      <c r="CD100" s="112" t="str">
        <f t="shared" si="71"/>
        <v/>
      </c>
      <c r="CE100" s="139" t="str">
        <f>IFERROR(IF($Z100&gt;$E$12,"",IF($E$5="Uniform Inputs",INDEX($D$45:$E$53,MATCH($CC$3,$B$45:$B$53,0),MATCH(CE$4,$D$44:$E$44,0)),IF(CJ100=0,"",CJ100))),"")</f>
        <v/>
      </c>
      <c r="CF100" s="139" t="str">
        <f>IFERROR(IF($Z100&gt;$E$12,"",IF($E$5="Uniform Inputs",INDEX($D$45:$E$53,MATCH($CC$3,$B$45:$B$53,0),MATCH(CF$4,$D$44:$E$44,0)),IF(CK100=0,"",CK100))),"")</f>
        <v/>
      </c>
      <c r="CG100" s="10" t="str">
        <f t="shared" si="72"/>
        <v/>
      </c>
      <c r="CH100" s="11" t="s">
        <v>22</v>
      </c>
      <c r="CI100" s="168" t="s">
        <v>22</v>
      </c>
      <c r="CJ100" s="11" t="s">
        <v>22</v>
      </c>
      <c r="CK100" s="11" t="s">
        <v>22</v>
      </c>
      <c r="CL100" s="139" t="str">
        <f t="shared" si="87"/>
        <v/>
      </c>
      <c r="CM100" s="112" t="str">
        <f t="shared" si="73"/>
        <v/>
      </c>
      <c r="CN100" s="139" t="str">
        <f>IFERROR(IF($Z100&gt;$E$12,"",IF($E$5="Uniform Inputs",INDEX($D$45:$E$53,MATCH($CL$3,$B$45:$B$53,0),MATCH(CN$4,$D$44:$E$44,0)),IF(CS100=0,"",CS100))),"")</f>
        <v/>
      </c>
      <c r="CO100" s="139" t="str">
        <f>IFERROR(IF($Z100&gt;$E$12,"",IF($E$5="Uniform Inputs",INDEX($D$45:$E$53,MATCH($CL$3,$B$45:$B$53,0),MATCH(CO$4,$D$44:$E$44,0)),IF(CT100=0,"",CT100))),"")</f>
        <v/>
      </c>
      <c r="CP100" s="10" t="str">
        <f t="shared" si="74"/>
        <v/>
      </c>
      <c r="CQ100" s="11" t="s">
        <v>22</v>
      </c>
      <c r="CR100" s="168" t="s">
        <v>22</v>
      </c>
      <c r="CS100" s="11" t="s">
        <v>22</v>
      </c>
      <c r="CT100" s="11" t="s">
        <v>22</v>
      </c>
      <c r="CU100" s="139" t="str">
        <f t="shared" si="88"/>
        <v/>
      </c>
      <c r="CV100" s="112" t="str">
        <f t="shared" si="75"/>
        <v/>
      </c>
      <c r="CW100" s="139" t="str">
        <f>IFERROR(IF($Z100&gt;$E$12,"",IF($E$5="Uniform Inputs",INDEX($D$45:$E$53,MATCH($CU$3,$B$45:$B$53,0),MATCH(CW$4,$D$44:$E$44,0)),IF(DB100=0,"",DB100))),"")</f>
        <v/>
      </c>
      <c r="CX100" s="139" t="str">
        <f>IFERROR(IF($Z100&gt;$E$12,"",IF($E$5="Uniform Inputs",INDEX($D$45:$E$53,MATCH($CU$3,$B$45:$B$53,0),MATCH(CX$4,$D$44:$E$44,0)),IF(DC100=0,"",DC100))),"")</f>
        <v/>
      </c>
      <c r="CY100" s="10" t="str">
        <f t="shared" si="76"/>
        <v/>
      </c>
      <c r="CZ100" s="11" t="s">
        <v>22</v>
      </c>
      <c r="DA100" s="168" t="s">
        <v>22</v>
      </c>
      <c r="DB100" s="11" t="s">
        <v>22</v>
      </c>
      <c r="DC100" s="11" t="s">
        <v>22</v>
      </c>
    </row>
    <row r="101" spans="2:107" x14ac:dyDescent="0.25">
      <c r="B101" s="3" t="s">
        <v>22</v>
      </c>
      <c r="C101" s="3" t="s">
        <v>22</v>
      </c>
      <c r="D101" s="2" t="s">
        <v>22</v>
      </c>
      <c r="K101" s="6" t="str">
        <f t="shared" si="77"/>
        <v/>
      </c>
      <c r="O101" s="6" t="str">
        <f t="shared" si="78"/>
        <v/>
      </c>
      <c r="P101" s="35" t="str">
        <f t="shared" si="56"/>
        <v/>
      </c>
      <c r="Q101" s="102" t="str">
        <f t="shared" si="57"/>
        <v/>
      </c>
      <c r="R101" s="102" t="str">
        <f t="shared" ca="1" si="58"/>
        <v/>
      </c>
      <c r="S101" s="112" t="str">
        <f t="shared" si="79"/>
        <v/>
      </c>
      <c r="T101" s="112" t="str">
        <f t="shared" ca="1" si="59"/>
        <v/>
      </c>
      <c r="U101" s="1" t="str">
        <f t="shared" si="80"/>
        <v/>
      </c>
      <c r="V101" s="1" t="str">
        <f t="shared" ca="1" si="60"/>
        <v/>
      </c>
      <c r="W101" s="34" t="str">
        <f t="shared" ca="1" si="81"/>
        <v/>
      </c>
      <c r="Y101" s="2">
        <v>96</v>
      </c>
      <c r="Z101" s="6" t="str">
        <f t="shared" si="82"/>
        <v/>
      </c>
      <c r="AA101" s="139" t="str">
        <f>IF($E$5="Uniform Inputs",IF($Z101&gt;$E$12,"",MIN($E$21,($I$5+'Cash Flows'!$BX$8+INDEX('Cash Flows'!$C$19:$BW$19,1,MATCH(EOMONTH(AB101,MOD(-MONTH(AB101),3)-3),'Cash Flows'!$C$4:$BW$4,0)))/$E$12)),IF(AF101&gt;0,AF101,""))</f>
        <v/>
      </c>
      <c r="AB101" s="112" t="str">
        <f t="shared" si="83"/>
        <v/>
      </c>
      <c r="AC101" s="139" t="str">
        <f>IFERROR(IF($Z101&gt;$E$12,"",IF($E$5="Uniform Inputs",INDEX($D$45:$E$53,MATCH($AA$3,$B$45:$B$53,0),MATCH(AC$4,$D$44:$E$44,0)),IF(AH101=0,"",AH101))),"")</f>
        <v/>
      </c>
      <c r="AD101" s="139" t="str">
        <f>IFERROR(IF($Z101&gt;$E$12,"",IF($E$5="Uniform Inputs",INDEX($D$45:$E$53,MATCH($AA$3,$B$45:$B$53,0),MATCH(AD$4,$D$44:$E$44,0)),IF(AI101=0,"",AI101))),"")</f>
        <v/>
      </c>
      <c r="AE101" s="10" t="str">
        <f t="shared" si="84"/>
        <v/>
      </c>
      <c r="AF101" s="11" t="s">
        <v>22</v>
      </c>
      <c r="AG101" s="168" t="s">
        <v>22</v>
      </c>
      <c r="AH101" s="11" t="s">
        <v>22</v>
      </c>
      <c r="AI101" s="11" t="s">
        <v>22</v>
      </c>
      <c r="AJ101" s="139" t="str">
        <f>IF($E$5="Uniform Inputs",IF($Z101&gt;$E$13,"",IF($E$23="Pro-Rata",MIN(AL101*AE101,(($I$5+'Cash Flows'!$BX$8+INDEX('Cash Flows'!$C$19:$BW$19,1,MATCH(EOMONTH(AK101,MOD(-MONTH(AK101),3)-3),'Cash Flows'!$C$4:$BW$4,0)))-$AA$5)/$E$13),MIN($E$24,(($I$5+'Cash Flows'!$BX$8+INDEX('Cash Flows'!$C$19:$BW$19,1,MATCH(EOMONTH(AK101,MOD(-MONTH(AK101),3)-3),'Cash Flows'!$C$4:$BW$4,0)))-$AA$5)/$E$13))),IF(AO101=0,"",AO101))</f>
        <v/>
      </c>
      <c r="AK101" s="112" t="str">
        <f t="shared" si="61"/>
        <v/>
      </c>
      <c r="AL101" s="139" t="str">
        <f>IFERROR(IF($Z101&gt;$E$12,"",IF($E$5="Uniform Inputs",INDEX($D$45:$E$53,MATCH($AJ$3,$B$45:$B$53,0),MATCH(AL$4,$D$44:$E$44,0)),IF(AQ101=0,"",AQ101))),"")</f>
        <v/>
      </c>
      <c r="AM101" s="139" t="str">
        <f>IFERROR(IF($Z101&gt;$E$12,"",IF($E$5="Uniform Inputs",INDEX($D$45:$E$53,MATCH($AJ$3,$B$45:$B$53,0),MATCH(AM$4,$D$44:$E$44,0)),IF(AR101=0,"",AR101))),"")</f>
        <v/>
      </c>
      <c r="AN101" s="10" t="str">
        <f t="shared" si="62"/>
        <v/>
      </c>
      <c r="AO101" s="11" t="s">
        <v>22</v>
      </c>
      <c r="AP101" s="168" t="s">
        <v>22</v>
      </c>
      <c r="AQ101" s="11" t="s">
        <v>22</v>
      </c>
      <c r="AR101" s="11" t="s">
        <v>22</v>
      </c>
      <c r="AS101" s="139" t="str">
        <f>IF($E$5="Uniform Inputs",IF($Z101&gt;$E$14,"",IF($E$23="Pro-Rata",MIN(AU101*AN101,(($I$5+'Cash Flows'!$BX$8+INDEX('Cash Flows'!$C$19:$BW$19,1,MATCH(EOMONTH(AT101,MOD(-MONTH(AT101),3)-3),'Cash Flows'!$C$4:$BW$4,0)))-SUM($AJ$5,$AA$5))/$E$14),MIN($E$25,(($I$5+'Cash Flows'!$BX$8+INDEX('Cash Flows'!$C$19:$BW$19,1,MATCH(EOMONTH(AT101,MOD(-MONTH(AT101),3)-3),'Cash Flows'!$C$4:$BW$4,0)))-SUM($AJ$5,$AA$5))/$E$14))),IF(AX101=0,"",AX101))</f>
        <v/>
      </c>
      <c r="AT101" s="112" t="str">
        <f t="shared" si="63"/>
        <v/>
      </c>
      <c r="AU101" s="139" t="str">
        <f>IFERROR(IF($Z101&gt;$E$12,"",IF($E$5="Uniform Inputs",INDEX($D$45:$E$53,MATCH($AS$3,$B$45:$B$53,0),MATCH(AU$4,$D$44:$E$44,0)),IF(AZ101=0,"",AZ101))),"")</f>
        <v/>
      </c>
      <c r="AV101" s="139" t="str">
        <f>IFERROR(IF($Z101&gt;$E$12,"",IF($E$5="Uniform Inputs",INDEX($D$45:$E$53,MATCH($AS$3,$B$45:$B$53,0),MATCH(AV$4,$D$44:$E$44,0)),IF(BA101=0,"",BA101))),"")</f>
        <v/>
      </c>
      <c r="AW101" s="10" t="str">
        <f t="shared" si="64"/>
        <v/>
      </c>
      <c r="AX101" s="11" t="s">
        <v>22</v>
      </c>
      <c r="AY101" s="168" t="s">
        <v>22</v>
      </c>
      <c r="AZ101" s="11" t="s">
        <v>22</v>
      </c>
      <c r="BA101" s="11" t="s">
        <v>22</v>
      </c>
      <c r="BB101" s="139" t="str">
        <f>IF($E$5="Uniform Inputs",IF($Z101&gt;$E$15,"",IF($E$23="Pro-Rata",MIN(BD101*AW101,(($I$5+'Cash Flows'!$BX$8+INDEX('Cash Flows'!$C$19:$BW$19,1,MATCH(EOMONTH(BC101,MOD(-MONTH(BC101),3)-3),'Cash Flows'!$C$4:$BW$4,0)))-SUM($AS$5,$AJ$5,$AA$5))/$E$15),MIN($E$26,(($I$5+'Cash Flows'!$BX$8+INDEX('Cash Flows'!$C$19:$BW$19,1,MATCH(EOMONTH(BC101,MOD(-MONTH(BC101),3)-3),'Cash Flows'!$C$4:$BW$4,0)))-SUM($AS$5,$AJ$5,$AA$5))/$E$15))),IF(BG101=0,"",BG101))</f>
        <v/>
      </c>
      <c r="BC101" s="112" t="str">
        <f t="shared" si="65"/>
        <v/>
      </c>
      <c r="BD101" s="139" t="str">
        <f>IFERROR(IF($Z101&gt;$E$12,"",IF($E$5="Uniform Inputs",INDEX($D$45:$E$53,MATCH($BB$3,$B$45:$B$53,0),MATCH(BD$4,$D$44:$E$44,0)),IF(BI101=0,"",BI101))),"")</f>
        <v/>
      </c>
      <c r="BE101" s="139" t="str">
        <f>IFERROR(IF($Z101&gt;$E$12,"",IF($E$5="Uniform Inputs",INDEX($D$45:$E$53,MATCH($BB$3,$B$45:$B$53,0),MATCH(BE$4,$D$44:$E$44,0)),IF(BJ101=0,"",BJ101))),"")</f>
        <v/>
      </c>
      <c r="BF101" s="10" t="str">
        <f t="shared" si="66"/>
        <v/>
      </c>
      <c r="BG101" s="11" t="s">
        <v>22</v>
      </c>
      <c r="BH101" s="168" t="s">
        <v>22</v>
      </c>
      <c r="BI101" s="11" t="s">
        <v>22</v>
      </c>
      <c r="BJ101" s="11" t="s">
        <v>22</v>
      </c>
      <c r="BK101" s="139" t="str">
        <f>IF($E$5="Uniform Inputs",IF($Z101&gt;$E$16,"",IF($E$23="Pro-Rata",MIN(BM101*BF101,(($I$5+'Cash Flows'!$BX$8+INDEX('Cash Flows'!$C$19:$BW$19,1,MATCH(EOMONTH(BL101,MOD(-MONTH(BL101),3)-3),'Cash Flows'!$C$4:$BW$4,0)))-SUM($BB$5,$AS$5,$AJ$5,$AA$5))/$E$16),MIN($E$27,(($I$5+'Cash Flows'!$BX$8+INDEX('Cash Flows'!$C$19:$BW$19,1,MATCH(EOMONTH(BL101,MOD(-MONTH(BL101),3)-3),'Cash Flows'!$C$4:$BW$4,0)))-SUM($BB$5,$AS$5,$AJ$5,$AA$5))/$E$16))),IF(BP101=0,"",BP101))</f>
        <v/>
      </c>
      <c r="BL101" s="112" t="str">
        <f t="shared" si="67"/>
        <v/>
      </c>
      <c r="BM101" s="139" t="str">
        <f>IFERROR(IF($Z101&gt;$E$12,"",IF($E$5="Uniform Inputs",INDEX($D$45:$E$53,MATCH($BK$3,$B$45:$B$53,0),MATCH(BM$4,$D$44:$E$44,0)),IF(BR101=0,"",BR101))),"")</f>
        <v/>
      </c>
      <c r="BN101" s="139" t="str">
        <f>IFERROR(IF($Z101&gt;$E$12,"",IF($E$5="Uniform Inputs",INDEX($D$45:$E$53,MATCH($BK$3,$B$45:$B$53,0),MATCH(BN$4,$D$44:$E$44,0)),IF(BS101=0,"",BS101))),"")</f>
        <v/>
      </c>
      <c r="BO101" s="10" t="str">
        <f t="shared" si="68"/>
        <v/>
      </c>
      <c r="BP101" s="11" t="s">
        <v>22</v>
      </c>
      <c r="BQ101" s="168" t="s">
        <v>22</v>
      </c>
      <c r="BR101" s="11" t="s">
        <v>22</v>
      </c>
      <c r="BS101" s="11" t="s">
        <v>22</v>
      </c>
      <c r="BT101" s="139" t="str">
        <f t="shared" si="85"/>
        <v/>
      </c>
      <c r="BU101" s="112" t="str">
        <f t="shared" si="69"/>
        <v/>
      </c>
      <c r="BV101" s="139" t="str">
        <f>IFERROR(IF($Z101&gt;$E$12,"",IF($E$5="Uniform Inputs",INDEX($D$45:$E$53,MATCH($BT$3,$B$45:$B$53,0),MATCH(BV$4,$D$44:$E$44,0)),IF(CA101=0,"",CA101))),"")</f>
        <v/>
      </c>
      <c r="BW101" s="139" t="str">
        <f>IFERROR(IF($Z101&gt;$E$12,"",IF($E$5="Uniform Inputs",INDEX($D$45:$E$53,MATCH($BT$3,$B$45:$B$53,0),MATCH(BW$4,$D$44:$E$44,0)),IF(CB101=0,"",CB101))),"")</f>
        <v/>
      </c>
      <c r="BX101" s="10" t="str">
        <f t="shared" si="70"/>
        <v/>
      </c>
      <c r="BY101" s="11" t="s">
        <v>22</v>
      </c>
      <c r="BZ101" s="168" t="s">
        <v>22</v>
      </c>
      <c r="CA101" s="11" t="s">
        <v>22</v>
      </c>
      <c r="CB101" s="11" t="s">
        <v>22</v>
      </c>
      <c r="CC101" s="139" t="str">
        <f t="shared" si="86"/>
        <v/>
      </c>
      <c r="CD101" s="112" t="str">
        <f t="shared" si="71"/>
        <v/>
      </c>
      <c r="CE101" s="139" t="str">
        <f>IFERROR(IF($Z101&gt;$E$12,"",IF($E$5="Uniform Inputs",INDEX($D$45:$E$53,MATCH($CC$3,$B$45:$B$53,0),MATCH(CE$4,$D$44:$E$44,0)),IF(CJ101=0,"",CJ101))),"")</f>
        <v/>
      </c>
      <c r="CF101" s="139" t="str">
        <f>IFERROR(IF($Z101&gt;$E$12,"",IF($E$5="Uniform Inputs",INDEX($D$45:$E$53,MATCH($CC$3,$B$45:$B$53,0),MATCH(CF$4,$D$44:$E$44,0)),IF(CK101=0,"",CK101))),"")</f>
        <v/>
      </c>
      <c r="CG101" s="10" t="str">
        <f t="shared" si="72"/>
        <v/>
      </c>
      <c r="CH101" s="11" t="s">
        <v>22</v>
      </c>
      <c r="CI101" s="168" t="s">
        <v>22</v>
      </c>
      <c r="CJ101" s="11" t="s">
        <v>22</v>
      </c>
      <c r="CK101" s="11" t="s">
        <v>22</v>
      </c>
      <c r="CL101" s="139" t="str">
        <f t="shared" si="87"/>
        <v/>
      </c>
      <c r="CM101" s="112" t="str">
        <f t="shared" si="73"/>
        <v/>
      </c>
      <c r="CN101" s="139" t="str">
        <f>IFERROR(IF($Z101&gt;$E$12,"",IF($E$5="Uniform Inputs",INDEX($D$45:$E$53,MATCH($CL$3,$B$45:$B$53,0),MATCH(CN$4,$D$44:$E$44,0)),IF(CS101=0,"",CS101))),"")</f>
        <v/>
      </c>
      <c r="CO101" s="139" t="str">
        <f>IFERROR(IF($Z101&gt;$E$12,"",IF($E$5="Uniform Inputs",INDEX($D$45:$E$53,MATCH($CL$3,$B$45:$B$53,0),MATCH(CO$4,$D$44:$E$44,0)),IF(CT101=0,"",CT101))),"")</f>
        <v/>
      </c>
      <c r="CP101" s="10" t="str">
        <f t="shared" si="74"/>
        <v/>
      </c>
      <c r="CQ101" s="11" t="s">
        <v>22</v>
      </c>
      <c r="CR101" s="168" t="s">
        <v>22</v>
      </c>
      <c r="CS101" s="11" t="s">
        <v>22</v>
      </c>
      <c r="CT101" s="11" t="s">
        <v>22</v>
      </c>
      <c r="CU101" s="139" t="str">
        <f t="shared" si="88"/>
        <v/>
      </c>
      <c r="CV101" s="112" t="str">
        <f t="shared" si="75"/>
        <v/>
      </c>
      <c r="CW101" s="139" t="str">
        <f>IFERROR(IF($Z101&gt;$E$12,"",IF($E$5="Uniform Inputs",INDEX($D$45:$E$53,MATCH($CU$3,$B$45:$B$53,0),MATCH(CW$4,$D$44:$E$44,0)),IF(DB101=0,"",DB101))),"")</f>
        <v/>
      </c>
      <c r="CX101" s="139" t="str">
        <f>IFERROR(IF($Z101&gt;$E$12,"",IF($E$5="Uniform Inputs",INDEX($D$45:$E$53,MATCH($CU$3,$B$45:$B$53,0),MATCH(CX$4,$D$44:$E$44,0)),IF(DC101=0,"",DC101))),"")</f>
        <v/>
      </c>
      <c r="CY101" s="10" t="str">
        <f t="shared" si="76"/>
        <v/>
      </c>
      <c r="CZ101" s="11" t="s">
        <v>22</v>
      </c>
      <c r="DA101" s="168" t="s">
        <v>22</v>
      </c>
      <c r="DB101" s="11" t="s">
        <v>22</v>
      </c>
      <c r="DC101" s="11" t="s">
        <v>22</v>
      </c>
    </row>
    <row r="102" spans="2:107" x14ac:dyDescent="0.25">
      <c r="B102" s="3" t="s">
        <v>22</v>
      </c>
      <c r="C102" s="3" t="s">
        <v>22</v>
      </c>
      <c r="D102" s="2" t="s">
        <v>22</v>
      </c>
      <c r="K102" s="6" t="str">
        <f t="shared" si="77"/>
        <v/>
      </c>
      <c r="O102" s="6" t="str">
        <f t="shared" si="78"/>
        <v/>
      </c>
      <c r="P102" s="35" t="str">
        <f t="shared" si="56"/>
        <v/>
      </c>
      <c r="Q102" s="102" t="str">
        <f t="shared" ref="Q102:Q105" si="89">IF($E$5="Uniform Inputs",AE102,IF(P102=$AA$3,AE102,IF(P102=$AJ$3,AN102,IF(P102=$AS$3,AW102,IF(P102=$BB$3,BF102,IF(P102=$BK$3,BO102,""))))))</f>
        <v/>
      </c>
      <c r="R102" s="102" t="str">
        <f t="shared" ca="1" si="58"/>
        <v/>
      </c>
      <c r="S102" s="112" t="str">
        <f t="shared" si="79"/>
        <v/>
      </c>
      <c r="T102" s="112" t="str">
        <f t="shared" ca="1" si="59"/>
        <v/>
      </c>
      <c r="U102" s="1" t="str">
        <f t="shared" si="80"/>
        <v/>
      </c>
      <c r="V102" s="1" t="str">
        <f t="shared" ca="1" si="60"/>
        <v/>
      </c>
      <c r="W102" s="34" t="str">
        <f t="shared" ca="1" si="81"/>
        <v/>
      </c>
      <c r="Y102" s="2">
        <v>97</v>
      </c>
      <c r="Z102" s="6" t="str">
        <f t="shared" si="82"/>
        <v/>
      </c>
      <c r="AA102" s="139" t="str">
        <f>IF($E$5="Uniform Inputs",IF($Z102&gt;$E$12,"",MIN($E$21,($I$5+'Cash Flows'!$BX$8+INDEX('Cash Flows'!$C$19:$BW$19,1,MATCH(EOMONTH(AB102,MOD(-MONTH(AB102),3)-3),'Cash Flows'!$C$4:$BW$4,0)))/$E$12)),IF(AF102&gt;0,AF102,""))</f>
        <v/>
      </c>
      <c r="AB102" s="112" t="str">
        <f t="shared" si="83"/>
        <v/>
      </c>
      <c r="AC102" s="139" t="str">
        <f>IFERROR(IF($Z102&gt;$E$12,"",IF($E$5="Uniform Inputs",INDEX($D$45:$E$53,MATCH($AA$3,$B$45:$B$53,0),MATCH(AC$4,$D$44:$E$44,0)),IF(AH102=0,"",AH102))),"")</f>
        <v/>
      </c>
      <c r="AD102" s="139" t="str">
        <f>IFERROR(IF($Z102&gt;$E$12,"",IF($E$5="Uniform Inputs",INDEX($D$45:$E$53,MATCH($AA$3,$B$45:$B$53,0),MATCH(AD$4,$D$44:$E$44,0)),IF(AI102=0,"",AI102))),"")</f>
        <v/>
      </c>
      <c r="AE102" s="10" t="str">
        <f t="shared" si="84"/>
        <v/>
      </c>
      <c r="AF102" s="11" t="s">
        <v>22</v>
      </c>
      <c r="AG102" s="168" t="s">
        <v>22</v>
      </c>
      <c r="AH102" s="11" t="s">
        <v>22</v>
      </c>
      <c r="AI102" s="11" t="s">
        <v>22</v>
      </c>
      <c r="AJ102" s="139" t="str">
        <f>IF($E$5="Uniform Inputs",IF($Z102&gt;$E$13,"",IF($E$23="Pro-Rata",MIN(AL102*AE102,(($I$5+'Cash Flows'!$BX$8+INDEX('Cash Flows'!$C$19:$BW$19,1,MATCH(EOMONTH(AK102,MOD(-MONTH(AK102),3)-3),'Cash Flows'!$C$4:$BW$4,0)))-$AA$5)/$E$13),MIN($E$24,(($I$5+'Cash Flows'!$BX$8+INDEX('Cash Flows'!$C$19:$BW$19,1,MATCH(EOMONTH(AK102,MOD(-MONTH(AK102),3)-3),'Cash Flows'!$C$4:$BW$4,0)))-$AA$5)/$E$13))),IF(AO102=0,"",AO102))</f>
        <v/>
      </c>
      <c r="AK102" s="112" t="str">
        <f t="shared" si="61"/>
        <v/>
      </c>
      <c r="AL102" s="139" t="str">
        <f>IFERROR(IF($Z102&gt;$E$12,"",IF($E$5="Uniform Inputs",INDEX($D$45:$E$53,MATCH($AJ$3,$B$45:$B$53,0),MATCH(AL$4,$D$44:$E$44,0)),IF(AQ102=0,"",AQ102))),"")</f>
        <v/>
      </c>
      <c r="AM102" s="139" t="str">
        <f>IFERROR(IF($Z102&gt;$E$12,"",IF($E$5="Uniform Inputs",INDEX($D$45:$E$53,MATCH($AJ$3,$B$45:$B$53,0),MATCH(AM$4,$D$44:$E$44,0)),IF(AR102=0,"",AR102))),"")</f>
        <v/>
      </c>
      <c r="AN102" s="10" t="str">
        <f t="shared" ref="AN102:AN105" si="90">IFERROR(IF($E$5="Uniform Inputs",(AE102*(AM102-AL102)+IF(AJ102="",0,AJ102))/AM102,IF(AE102="",AJ102/AM102,(AE102*(AM102-AL102)+IF(AJ102="",0,AJ102))/AM102)),"")</f>
        <v/>
      </c>
      <c r="AO102" s="11" t="s">
        <v>22</v>
      </c>
      <c r="AP102" s="168" t="s">
        <v>22</v>
      </c>
      <c r="AQ102" s="11" t="s">
        <v>22</v>
      </c>
      <c r="AR102" s="11" t="s">
        <v>22</v>
      </c>
      <c r="AS102" s="139" t="str">
        <f>IF($E$5="Uniform Inputs",IF($Z102&gt;$E$14,"",IF($E$23="Pro-Rata",MIN(AU102*AN102,(($I$5+'Cash Flows'!$BX$8+INDEX('Cash Flows'!$C$19:$BW$19,1,MATCH(EOMONTH(AT102,MOD(-MONTH(AT102),3)-3),'Cash Flows'!$C$4:$BW$4,0)))-SUM($AJ$5,$AA$5))/$E$14),MIN($E$25,(($I$5+'Cash Flows'!$BX$8+INDEX('Cash Flows'!$C$19:$BW$19,1,MATCH(EOMONTH(AT102,MOD(-MONTH(AT102),3)-3),'Cash Flows'!$C$4:$BW$4,0)))-SUM($AJ$5,$AA$5))/$E$14))),IF(AX102=0,"",AX102))</f>
        <v/>
      </c>
      <c r="AT102" s="112" t="str">
        <f t="shared" si="63"/>
        <v/>
      </c>
      <c r="AU102" s="139" t="str">
        <f>IFERROR(IF($Z102&gt;$E$12,"",IF($E$5="Uniform Inputs",INDEX($D$45:$E$53,MATCH($AS$3,$B$45:$B$53,0),MATCH(AU$4,$D$44:$E$44,0)),IF(AZ102=0,"",AZ102))),"")</f>
        <v/>
      </c>
      <c r="AV102" s="139" t="str">
        <f>IFERROR(IF($Z102&gt;$E$12,"",IF($E$5="Uniform Inputs",INDEX($D$45:$E$53,MATCH($AS$3,$B$45:$B$53,0),MATCH(AV$4,$D$44:$E$44,0)),IF(BA102=0,"",BA102))),"")</f>
        <v/>
      </c>
      <c r="AW102" s="10" t="str">
        <f t="shared" ref="AW102:AW105" si="91">IFERROR(IF($E$5="Uniform Inputs",(AN102*(AV102-AU102)+IF(AS102="",0,AS102))/AV102,IF(AN102="",AS102/AV102,(AN102*(AV102-AU102)+IF(AS102="",0,AS102))/AV102)),"")</f>
        <v/>
      </c>
      <c r="AX102" s="11" t="s">
        <v>22</v>
      </c>
      <c r="AY102" s="168" t="s">
        <v>22</v>
      </c>
      <c r="AZ102" s="11" t="s">
        <v>22</v>
      </c>
      <c r="BA102" s="11" t="s">
        <v>22</v>
      </c>
      <c r="BB102" s="139" t="str">
        <f>IF($E$5="Uniform Inputs",IF($Z102&gt;$E$15,"",IF($E$23="Pro-Rata",MIN(BD102*AW102,(($I$5+'Cash Flows'!$BX$8+INDEX('Cash Flows'!$C$19:$BW$19,1,MATCH(EOMONTH(BC102,MOD(-MONTH(BC102),3)-3),'Cash Flows'!$C$4:$BW$4,0)))-SUM($AS$5,$AJ$5,$AA$5))/$E$15),MIN($E$26,(($I$5+'Cash Flows'!$BX$8+INDEX('Cash Flows'!$C$19:$BW$19,1,MATCH(EOMONTH(BC102,MOD(-MONTH(BC102),3)-3),'Cash Flows'!$C$4:$BW$4,0)))-SUM($AS$5,$AJ$5,$AA$5))/$E$15))),IF(BG102=0,"",BG102))</f>
        <v/>
      </c>
      <c r="BC102" s="112" t="str">
        <f t="shared" si="65"/>
        <v/>
      </c>
      <c r="BD102" s="139" t="str">
        <f>IFERROR(IF($Z102&gt;$E$12,"",IF($E$5="Uniform Inputs",INDEX($D$45:$E$53,MATCH($BB$3,$B$45:$B$53,0),MATCH(BD$4,$D$44:$E$44,0)),IF(BI102=0,"",BI102))),"")</f>
        <v/>
      </c>
      <c r="BE102" s="139" t="str">
        <f>IFERROR(IF($Z102&gt;$E$12,"",IF($E$5="Uniform Inputs",INDEX($D$45:$E$53,MATCH($BB$3,$B$45:$B$53,0),MATCH(BE$4,$D$44:$E$44,0)),IF(BJ102=0,"",BJ102))),"")</f>
        <v/>
      </c>
      <c r="BF102" s="10" t="str">
        <f t="shared" ref="BF102:BF105" si="92">IFERROR(IF($E$5="Uniform Inputs",(AW102*(BE102-BD102)+IF(BB102="",0,BB102))/BE102,IF(AW102="",BB102/BE102,(AW102*(BE102-BD102)+IF(BB102="",0,BB102))/BE102)),"")</f>
        <v/>
      </c>
      <c r="BG102" s="11" t="s">
        <v>22</v>
      </c>
      <c r="BH102" s="168" t="s">
        <v>22</v>
      </c>
      <c r="BI102" s="11" t="s">
        <v>22</v>
      </c>
      <c r="BJ102" s="11" t="s">
        <v>22</v>
      </c>
      <c r="BK102" s="139" t="str">
        <f>IF($E$5="Uniform Inputs",IF($Z102&gt;$E$16,"",IF($E$23="Pro-Rata",MIN(BM102*BF102,(($I$5+'Cash Flows'!$BX$8+INDEX('Cash Flows'!$C$19:$BW$19,1,MATCH(EOMONTH(BL102,MOD(-MONTH(BL102),3)-3),'Cash Flows'!$C$4:$BW$4,0)))-SUM($BB$5,$AS$5,$AJ$5,$AA$5))/$E$16),MIN($E$27,(($I$5+'Cash Flows'!$BX$8+INDEX('Cash Flows'!$C$19:$BW$19,1,MATCH(EOMONTH(BL102,MOD(-MONTH(BL102),3)-3),'Cash Flows'!$C$4:$BW$4,0)))-SUM($BB$5,$AS$5,$AJ$5,$AA$5))/$E$16))),IF(BP102=0,"",BP102))</f>
        <v/>
      </c>
      <c r="BL102" s="112" t="str">
        <f t="shared" si="67"/>
        <v/>
      </c>
      <c r="BM102" s="139" t="str">
        <f>IFERROR(IF($Z102&gt;$E$12,"",IF($E$5="Uniform Inputs",INDEX($D$45:$E$53,MATCH($BK$3,$B$45:$B$53,0),MATCH(BM$4,$D$44:$E$44,0)),IF(BR102=0,"",BR102))),"")</f>
        <v/>
      </c>
      <c r="BN102" s="139" t="str">
        <f>IFERROR(IF($Z102&gt;$E$12,"",IF($E$5="Uniform Inputs",INDEX($D$45:$E$53,MATCH($BK$3,$B$45:$B$53,0),MATCH(BN$4,$D$44:$E$44,0)),IF(BS102=0,"",BS102))),"")</f>
        <v/>
      </c>
      <c r="BO102" s="10" t="str">
        <f t="shared" ref="BO102:BO105" si="93">IFERROR(IF($E$5="Uniform Inputs",(BF102*(BN102-BM102)+IF(BK102="",0,BK102))/BN102,IF(BF102="",BK102/BN102,(BF102*(BN102-BM102)+IF(BK102="",0,BK102))/BN102)),"")</f>
        <v/>
      </c>
      <c r="BP102" s="11" t="s">
        <v>22</v>
      </c>
      <c r="BQ102" s="168" t="s">
        <v>22</v>
      </c>
      <c r="BR102" s="11" t="s">
        <v>22</v>
      </c>
      <c r="BS102" s="11" t="s">
        <v>22</v>
      </c>
      <c r="BT102" s="139" t="str">
        <f t="shared" si="85"/>
        <v/>
      </c>
      <c r="BU102" s="112" t="str">
        <f t="shared" si="69"/>
        <v/>
      </c>
      <c r="BV102" s="139" t="str">
        <f>IFERROR(IF($Z102&gt;$E$12,"",IF($E$5="Uniform Inputs",INDEX($D$45:$E$53,MATCH($BT$3,$B$45:$B$53,0),MATCH(BV$4,$D$44:$E$44,0)),IF(CA102=0,"",CA102))),"")</f>
        <v/>
      </c>
      <c r="BW102" s="139" t="str">
        <f>IFERROR(IF($Z102&gt;$E$12,"",IF($E$5="Uniform Inputs",INDEX($D$45:$E$53,MATCH($BT$3,$B$45:$B$53,0),MATCH(BW$4,$D$44:$E$44,0)),IF(CB102=0,"",CB102))),"")</f>
        <v/>
      </c>
      <c r="BX102" s="10" t="str">
        <f t="shared" ref="BX102:BX105" si="94">IFERROR(IF($E$5="Uniform Inputs",(BO102*(BW102-BV102)+IF(BT102="",0,BT102))/BW102,IF(BO102="",BT102/BW102,(BO102*(BW102-BV102)+IF(BT102="",0,BT102))/BW102)),"")</f>
        <v/>
      </c>
      <c r="BY102" s="11" t="s">
        <v>22</v>
      </c>
      <c r="BZ102" s="168" t="s">
        <v>22</v>
      </c>
      <c r="CA102" s="11" t="s">
        <v>22</v>
      </c>
      <c r="CB102" s="11" t="s">
        <v>22</v>
      </c>
      <c r="CC102" s="139" t="str">
        <f t="shared" si="86"/>
        <v/>
      </c>
      <c r="CD102" s="112" t="str">
        <f t="shared" si="71"/>
        <v/>
      </c>
      <c r="CE102" s="139" t="str">
        <f>IFERROR(IF($Z102&gt;$E$12,"",IF($E$5="Uniform Inputs",INDEX($D$45:$E$53,MATCH($CC$3,$B$45:$B$53,0),MATCH(CE$4,$D$44:$E$44,0)),IF(CJ102=0,"",CJ102))),"")</f>
        <v/>
      </c>
      <c r="CF102" s="139" t="str">
        <f>IFERROR(IF($Z102&gt;$E$12,"",IF($E$5="Uniform Inputs",INDEX($D$45:$E$53,MATCH($CC$3,$B$45:$B$53,0),MATCH(CF$4,$D$44:$E$44,0)),IF(CK102=0,"",CK102))),"")</f>
        <v/>
      </c>
      <c r="CG102" s="10" t="str">
        <f t="shared" ref="CG102:CG105" si="95">IFERROR(IF($E$5="Uniform Inputs",(BX102*(CF102-CE102)+IF(CC102="",0,CC102))/CF102,IF(BX102="",CC102/CF102,(BX102*(CF102-CE102)+IF(CC102="",0,CC102))/CF102)),"")</f>
        <v/>
      </c>
      <c r="CH102" s="11" t="s">
        <v>22</v>
      </c>
      <c r="CI102" s="168" t="s">
        <v>22</v>
      </c>
      <c r="CJ102" s="11" t="s">
        <v>22</v>
      </c>
      <c r="CK102" s="11" t="s">
        <v>22</v>
      </c>
      <c r="CL102" s="139" t="str">
        <f t="shared" si="87"/>
        <v/>
      </c>
      <c r="CM102" s="112" t="str">
        <f t="shared" si="73"/>
        <v/>
      </c>
      <c r="CN102" s="139" t="str">
        <f>IFERROR(IF($Z102&gt;$E$12,"",IF($E$5="Uniform Inputs",INDEX($D$45:$E$53,MATCH($CL$3,$B$45:$B$53,0),MATCH(CN$4,$D$44:$E$44,0)),IF(CS102=0,"",CS102))),"")</f>
        <v/>
      </c>
      <c r="CO102" s="139" t="str">
        <f>IFERROR(IF($Z102&gt;$E$12,"",IF($E$5="Uniform Inputs",INDEX($D$45:$E$53,MATCH($CL$3,$B$45:$B$53,0),MATCH(CO$4,$D$44:$E$44,0)),IF(CT102=0,"",CT102))),"")</f>
        <v/>
      </c>
      <c r="CP102" s="10" t="str">
        <f t="shared" ref="CP102:CP105" si="96">IFERROR(IF($E$5="Uniform Inputs",(CG102*(CO102-CN102)+IF(CL102="",0,CL102))/CO102,IF(CG102="",CL102/CO102,(CG102*(CO102-CN102)+IF(CL102="",0,CL102))/CO102)),"")</f>
        <v/>
      </c>
      <c r="CQ102" s="11" t="s">
        <v>22</v>
      </c>
      <c r="CR102" s="168" t="s">
        <v>22</v>
      </c>
      <c r="CS102" s="11" t="s">
        <v>22</v>
      </c>
      <c r="CT102" s="11" t="s">
        <v>22</v>
      </c>
      <c r="CU102" s="139" t="str">
        <f t="shared" si="88"/>
        <v/>
      </c>
      <c r="CV102" s="112" t="str">
        <f t="shared" si="75"/>
        <v/>
      </c>
      <c r="CW102" s="139" t="str">
        <f>IFERROR(IF($Z102&gt;$E$12,"",IF($E$5="Uniform Inputs",INDEX($D$45:$E$53,MATCH($CU$3,$B$45:$B$53,0),MATCH(CW$4,$D$44:$E$44,0)),IF(DB102=0,"",DB102))),"")</f>
        <v/>
      </c>
      <c r="CX102" s="139" t="str">
        <f>IFERROR(IF($Z102&gt;$E$12,"",IF($E$5="Uniform Inputs",INDEX($D$45:$E$53,MATCH($CU$3,$B$45:$B$53,0),MATCH(CX$4,$D$44:$E$44,0)),IF(DC102=0,"",DC102))),"")</f>
        <v/>
      </c>
      <c r="CY102" s="10" t="str">
        <f t="shared" ref="CY102:CY105" si="97">IFERROR(IF($E$5="Uniform Inputs",(CP102*(CX102-CW102)+IF(CU102="",0,CU102))/CX102,IF(CP102="",CU102/CX102,(CP102*(CX102-CW102)+IF(CU102="",0,CU102))/CX102)),"")</f>
        <v/>
      </c>
      <c r="CZ102" s="11" t="s">
        <v>22</v>
      </c>
      <c r="DA102" s="168" t="s">
        <v>22</v>
      </c>
      <c r="DB102" s="11" t="s">
        <v>22</v>
      </c>
      <c r="DC102" s="11" t="s">
        <v>22</v>
      </c>
    </row>
    <row r="103" spans="2:107" x14ac:dyDescent="0.25">
      <c r="B103" s="3" t="s">
        <v>22</v>
      </c>
      <c r="C103" s="3" t="s">
        <v>22</v>
      </c>
      <c r="D103" s="2" t="s">
        <v>22</v>
      </c>
      <c r="K103" s="6" t="str">
        <f t="shared" si="77"/>
        <v/>
      </c>
      <c r="O103" s="6" t="str">
        <f t="shared" si="78"/>
        <v/>
      </c>
      <c r="P103" s="35" t="str">
        <f t="shared" si="56"/>
        <v/>
      </c>
      <c r="Q103" s="102" t="str">
        <f t="shared" si="89"/>
        <v/>
      </c>
      <c r="R103" s="102" t="str">
        <f t="shared" ca="1" si="58"/>
        <v/>
      </c>
      <c r="S103" s="112" t="str">
        <f t="shared" si="79"/>
        <v/>
      </c>
      <c r="T103" s="112" t="str">
        <f t="shared" ca="1" si="59"/>
        <v/>
      </c>
      <c r="U103" s="1" t="str">
        <f t="shared" si="80"/>
        <v/>
      </c>
      <c r="V103" s="1" t="str">
        <f t="shared" ca="1" si="60"/>
        <v/>
      </c>
      <c r="W103" s="34" t="str">
        <f t="shared" ca="1" si="81"/>
        <v/>
      </c>
      <c r="Y103" s="2">
        <v>98</v>
      </c>
      <c r="Z103" s="6" t="str">
        <f t="shared" si="82"/>
        <v/>
      </c>
      <c r="AA103" s="139" t="str">
        <f>IF($E$5="Uniform Inputs",IF($Z103&gt;$E$12,"",MIN($E$21,($I$5+'Cash Flows'!$BX$8+INDEX('Cash Flows'!$C$19:$BW$19,1,MATCH(EOMONTH(AB103,MOD(-MONTH(AB103),3)-3),'Cash Flows'!$C$4:$BW$4,0)))/$E$12)),IF(AF103&gt;0,AF103,""))</f>
        <v/>
      </c>
      <c r="AB103" s="112" t="str">
        <f t="shared" si="83"/>
        <v/>
      </c>
      <c r="AC103" s="139" t="str">
        <f>IFERROR(IF($Z103&gt;$E$12,"",IF($E$5="Uniform Inputs",INDEX($D$45:$E$53,MATCH($AA$3,$B$45:$B$53,0),MATCH(AC$4,$D$44:$E$44,0)),IF(AH103=0,"",AH103))),"")</f>
        <v/>
      </c>
      <c r="AD103" s="139" t="str">
        <f>IFERROR(IF($Z103&gt;$E$12,"",IF($E$5="Uniform Inputs",INDEX($D$45:$E$53,MATCH($AA$3,$B$45:$B$53,0),MATCH(AD$4,$D$44:$E$44,0)),IF(AI103=0,"",AI103))),"")</f>
        <v/>
      </c>
      <c r="AE103" s="10" t="str">
        <f t="shared" si="84"/>
        <v/>
      </c>
      <c r="AF103" s="11" t="s">
        <v>22</v>
      </c>
      <c r="AG103" s="168" t="s">
        <v>22</v>
      </c>
      <c r="AH103" s="11" t="s">
        <v>22</v>
      </c>
      <c r="AI103" s="11" t="s">
        <v>22</v>
      </c>
      <c r="AJ103" s="139" t="str">
        <f>IF($E$5="Uniform Inputs",IF($Z103&gt;$E$13,"",IF($E$23="Pro-Rata",MIN(AL103*AE103,(($I$5+'Cash Flows'!$BX$8+INDEX('Cash Flows'!$C$19:$BW$19,1,MATCH(EOMONTH(AK103,MOD(-MONTH(AK103),3)-3),'Cash Flows'!$C$4:$BW$4,0)))-$AA$5)/$E$13),MIN($E$24,(($I$5+'Cash Flows'!$BX$8+INDEX('Cash Flows'!$C$19:$BW$19,1,MATCH(EOMONTH(AK103,MOD(-MONTH(AK103),3)-3),'Cash Flows'!$C$4:$BW$4,0)))-$AA$5)/$E$13))),IF(AO103=0,"",AO103))</f>
        <v/>
      </c>
      <c r="AK103" s="112" t="str">
        <f t="shared" si="61"/>
        <v/>
      </c>
      <c r="AL103" s="139" t="str">
        <f>IFERROR(IF($Z103&gt;$E$12,"",IF($E$5="Uniform Inputs",INDEX($D$45:$E$53,MATCH($AJ$3,$B$45:$B$53,0),MATCH(AL$4,$D$44:$E$44,0)),IF(AQ103=0,"",AQ103))),"")</f>
        <v/>
      </c>
      <c r="AM103" s="139" t="str">
        <f>IFERROR(IF($Z103&gt;$E$12,"",IF($E$5="Uniform Inputs",INDEX($D$45:$E$53,MATCH($AJ$3,$B$45:$B$53,0),MATCH(AM$4,$D$44:$E$44,0)),IF(AR103=0,"",AR103))),"")</f>
        <v/>
      </c>
      <c r="AN103" s="10" t="str">
        <f t="shared" si="90"/>
        <v/>
      </c>
      <c r="AO103" s="11" t="s">
        <v>22</v>
      </c>
      <c r="AP103" s="168" t="s">
        <v>22</v>
      </c>
      <c r="AQ103" s="11" t="s">
        <v>22</v>
      </c>
      <c r="AR103" s="11" t="s">
        <v>22</v>
      </c>
      <c r="AS103" s="139" t="str">
        <f>IF($E$5="Uniform Inputs",IF($Z103&gt;$E$14,"",IF($E$23="Pro-Rata",MIN(AU103*AN103,(($I$5+'Cash Flows'!$BX$8+INDEX('Cash Flows'!$C$19:$BW$19,1,MATCH(EOMONTH(AT103,MOD(-MONTH(AT103),3)-3),'Cash Flows'!$C$4:$BW$4,0)))-SUM($AJ$5,$AA$5))/$E$14),MIN($E$25,(($I$5+'Cash Flows'!$BX$8+INDEX('Cash Flows'!$C$19:$BW$19,1,MATCH(EOMONTH(AT103,MOD(-MONTH(AT103),3)-3),'Cash Flows'!$C$4:$BW$4,0)))-SUM($AJ$5,$AA$5))/$E$14))),IF(AX103=0,"",AX103))</f>
        <v/>
      </c>
      <c r="AT103" s="112" t="str">
        <f t="shared" si="63"/>
        <v/>
      </c>
      <c r="AU103" s="139" t="str">
        <f>IFERROR(IF($Z103&gt;$E$12,"",IF($E$5="Uniform Inputs",INDEX($D$45:$E$53,MATCH($AS$3,$B$45:$B$53,0),MATCH(AU$4,$D$44:$E$44,0)),IF(AZ103=0,"",AZ103))),"")</f>
        <v/>
      </c>
      <c r="AV103" s="139" t="str">
        <f>IFERROR(IF($Z103&gt;$E$12,"",IF($E$5="Uniform Inputs",INDEX($D$45:$E$53,MATCH($AS$3,$B$45:$B$53,0),MATCH(AV$4,$D$44:$E$44,0)),IF(BA103=0,"",BA103))),"")</f>
        <v/>
      </c>
      <c r="AW103" s="10" t="str">
        <f t="shared" si="91"/>
        <v/>
      </c>
      <c r="AX103" s="11" t="s">
        <v>22</v>
      </c>
      <c r="AY103" s="168" t="s">
        <v>22</v>
      </c>
      <c r="AZ103" s="11" t="s">
        <v>22</v>
      </c>
      <c r="BA103" s="11" t="s">
        <v>22</v>
      </c>
      <c r="BB103" s="139" t="str">
        <f>IF($E$5="Uniform Inputs",IF($Z103&gt;$E$15,"",IF($E$23="Pro-Rata",MIN(BD103*AW103,(($I$5+'Cash Flows'!$BX$8+INDEX('Cash Flows'!$C$19:$BW$19,1,MATCH(EOMONTH(BC103,MOD(-MONTH(BC103),3)-3),'Cash Flows'!$C$4:$BW$4,0)))-SUM($AS$5,$AJ$5,$AA$5))/$E$15),MIN($E$26,(($I$5+'Cash Flows'!$BX$8+INDEX('Cash Flows'!$C$19:$BW$19,1,MATCH(EOMONTH(BC103,MOD(-MONTH(BC103),3)-3),'Cash Flows'!$C$4:$BW$4,0)))-SUM($AS$5,$AJ$5,$AA$5))/$E$15))),IF(BG103=0,"",BG103))</f>
        <v/>
      </c>
      <c r="BC103" s="112" t="str">
        <f t="shared" si="65"/>
        <v/>
      </c>
      <c r="BD103" s="139" t="str">
        <f>IFERROR(IF($Z103&gt;$E$12,"",IF($E$5="Uniform Inputs",INDEX($D$45:$E$53,MATCH($BB$3,$B$45:$B$53,0),MATCH(BD$4,$D$44:$E$44,0)),IF(BI103=0,"",BI103))),"")</f>
        <v/>
      </c>
      <c r="BE103" s="139" t="str">
        <f>IFERROR(IF($Z103&gt;$E$12,"",IF($E$5="Uniform Inputs",INDEX($D$45:$E$53,MATCH($BB$3,$B$45:$B$53,0),MATCH(BE$4,$D$44:$E$44,0)),IF(BJ103=0,"",BJ103))),"")</f>
        <v/>
      </c>
      <c r="BF103" s="10" t="str">
        <f t="shared" si="92"/>
        <v/>
      </c>
      <c r="BG103" s="11" t="s">
        <v>22</v>
      </c>
      <c r="BH103" s="168" t="s">
        <v>22</v>
      </c>
      <c r="BI103" s="11" t="s">
        <v>22</v>
      </c>
      <c r="BJ103" s="11" t="s">
        <v>22</v>
      </c>
      <c r="BK103" s="139" t="str">
        <f>IF($E$5="Uniform Inputs",IF($Z103&gt;$E$16,"",IF($E$23="Pro-Rata",MIN(BM103*BF103,(($I$5+'Cash Flows'!$BX$8+INDEX('Cash Flows'!$C$19:$BW$19,1,MATCH(EOMONTH(BL103,MOD(-MONTH(BL103),3)-3),'Cash Flows'!$C$4:$BW$4,0)))-SUM($BB$5,$AS$5,$AJ$5,$AA$5))/$E$16),MIN($E$27,(($I$5+'Cash Flows'!$BX$8+INDEX('Cash Flows'!$C$19:$BW$19,1,MATCH(EOMONTH(BL103,MOD(-MONTH(BL103),3)-3),'Cash Flows'!$C$4:$BW$4,0)))-SUM($BB$5,$AS$5,$AJ$5,$AA$5))/$E$16))),IF(BP103=0,"",BP103))</f>
        <v/>
      </c>
      <c r="BL103" s="112" t="str">
        <f t="shared" si="67"/>
        <v/>
      </c>
      <c r="BM103" s="139" t="str">
        <f>IFERROR(IF($Z103&gt;$E$12,"",IF($E$5="Uniform Inputs",INDEX($D$45:$E$53,MATCH($BK$3,$B$45:$B$53,0),MATCH(BM$4,$D$44:$E$44,0)),IF(BR103=0,"",BR103))),"")</f>
        <v/>
      </c>
      <c r="BN103" s="139" t="str">
        <f>IFERROR(IF($Z103&gt;$E$12,"",IF($E$5="Uniform Inputs",INDEX($D$45:$E$53,MATCH($BK$3,$B$45:$B$53,0),MATCH(BN$4,$D$44:$E$44,0)),IF(BS103=0,"",BS103))),"")</f>
        <v/>
      </c>
      <c r="BO103" s="10" t="str">
        <f t="shared" si="93"/>
        <v/>
      </c>
      <c r="BP103" s="11" t="s">
        <v>22</v>
      </c>
      <c r="BQ103" s="168" t="s">
        <v>22</v>
      </c>
      <c r="BR103" s="11" t="s">
        <v>22</v>
      </c>
      <c r="BS103" s="11" t="s">
        <v>22</v>
      </c>
      <c r="BT103" s="139" t="str">
        <f t="shared" si="85"/>
        <v/>
      </c>
      <c r="BU103" s="112" t="str">
        <f t="shared" si="69"/>
        <v/>
      </c>
      <c r="BV103" s="139" t="str">
        <f>IFERROR(IF($Z103&gt;$E$12,"",IF($E$5="Uniform Inputs",INDEX($D$45:$E$53,MATCH($BT$3,$B$45:$B$53,0),MATCH(BV$4,$D$44:$E$44,0)),IF(CA103=0,"",CA103))),"")</f>
        <v/>
      </c>
      <c r="BW103" s="139" t="str">
        <f>IFERROR(IF($Z103&gt;$E$12,"",IF($E$5="Uniform Inputs",INDEX($D$45:$E$53,MATCH($BT$3,$B$45:$B$53,0),MATCH(BW$4,$D$44:$E$44,0)),IF(CB103=0,"",CB103))),"")</f>
        <v/>
      </c>
      <c r="BX103" s="10" t="str">
        <f t="shared" si="94"/>
        <v/>
      </c>
      <c r="BY103" s="11" t="s">
        <v>22</v>
      </c>
      <c r="BZ103" s="168" t="s">
        <v>22</v>
      </c>
      <c r="CA103" s="11" t="s">
        <v>22</v>
      </c>
      <c r="CB103" s="11" t="s">
        <v>22</v>
      </c>
      <c r="CC103" s="139" t="str">
        <f t="shared" si="86"/>
        <v/>
      </c>
      <c r="CD103" s="112" t="str">
        <f t="shared" si="71"/>
        <v/>
      </c>
      <c r="CE103" s="139" t="str">
        <f>IFERROR(IF($Z103&gt;$E$12,"",IF($E$5="Uniform Inputs",INDEX($D$45:$E$53,MATCH($CC$3,$B$45:$B$53,0),MATCH(CE$4,$D$44:$E$44,0)),IF(CJ103=0,"",CJ103))),"")</f>
        <v/>
      </c>
      <c r="CF103" s="139" t="str">
        <f>IFERROR(IF($Z103&gt;$E$12,"",IF($E$5="Uniform Inputs",INDEX($D$45:$E$53,MATCH($CC$3,$B$45:$B$53,0),MATCH(CF$4,$D$44:$E$44,0)),IF(CK103=0,"",CK103))),"")</f>
        <v/>
      </c>
      <c r="CG103" s="10" t="str">
        <f t="shared" si="95"/>
        <v/>
      </c>
      <c r="CH103" s="11" t="s">
        <v>22</v>
      </c>
      <c r="CI103" s="168" t="s">
        <v>22</v>
      </c>
      <c r="CJ103" s="11" t="s">
        <v>22</v>
      </c>
      <c r="CK103" s="11" t="s">
        <v>22</v>
      </c>
      <c r="CL103" s="139" t="str">
        <f t="shared" si="87"/>
        <v/>
      </c>
      <c r="CM103" s="112" t="str">
        <f t="shared" si="73"/>
        <v/>
      </c>
      <c r="CN103" s="139" t="str">
        <f>IFERROR(IF($Z103&gt;$E$12,"",IF($E$5="Uniform Inputs",INDEX($D$45:$E$53,MATCH($CL$3,$B$45:$B$53,0),MATCH(CN$4,$D$44:$E$44,0)),IF(CS103=0,"",CS103))),"")</f>
        <v/>
      </c>
      <c r="CO103" s="139" t="str">
        <f>IFERROR(IF($Z103&gt;$E$12,"",IF($E$5="Uniform Inputs",INDEX($D$45:$E$53,MATCH($CL$3,$B$45:$B$53,0),MATCH(CO$4,$D$44:$E$44,0)),IF(CT103=0,"",CT103))),"")</f>
        <v/>
      </c>
      <c r="CP103" s="10" t="str">
        <f t="shared" si="96"/>
        <v/>
      </c>
      <c r="CQ103" s="11" t="s">
        <v>22</v>
      </c>
      <c r="CR103" s="168" t="s">
        <v>22</v>
      </c>
      <c r="CS103" s="11" t="s">
        <v>22</v>
      </c>
      <c r="CT103" s="11" t="s">
        <v>22</v>
      </c>
      <c r="CU103" s="139" t="str">
        <f t="shared" si="88"/>
        <v/>
      </c>
      <c r="CV103" s="112" t="str">
        <f t="shared" si="75"/>
        <v/>
      </c>
      <c r="CW103" s="139" t="str">
        <f>IFERROR(IF($Z103&gt;$E$12,"",IF($E$5="Uniform Inputs",INDEX($D$45:$E$53,MATCH($CU$3,$B$45:$B$53,0),MATCH(CW$4,$D$44:$E$44,0)),IF(DB103=0,"",DB103))),"")</f>
        <v/>
      </c>
      <c r="CX103" s="139" t="str">
        <f>IFERROR(IF($Z103&gt;$E$12,"",IF($E$5="Uniform Inputs",INDEX($D$45:$E$53,MATCH($CU$3,$B$45:$B$53,0),MATCH(CX$4,$D$44:$E$44,0)),IF(DC103=0,"",DC103))),"")</f>
        <v/>
      </c>
      <c r="CY103" s="10" t="str">
        <f t="shared" si="97"/>
        <v/>
      </c>
      <c r="CZ103" s="11" t="s">
        <v>22</v>
      </c>
      <c r="DA103" s="168" t="s">
        <v>22</v>
      </c>
      <c r="DB103" s="11" t="s">
        <v>22</v>
      </c>
      <c r="DC103" s="11" t="s">
        <v>22</v>
      </c>
    </row>
    <row r="104" spans="2:107" x14ac:dyDescent="0.25">
      <c r="B104" s="3" t="s">
        <v>22</v>
      </c>
      <c r="C104" s="3" t="s">
        <v>22</v>
      </c>
      <c r="D104" s="2" t="s">
        <v>22</v>
      </c>
      <c r="K104" s="6" t="str">
        <f t="shared" si="77"/>
        <v/>
      </c>
      <c r="O104" s="6" t="str">
        <f t="shared" si="78"/>
        <v/>
      </c>
      <c r="P104" s="35" t="str">
        <f t="shared" si="56"/>
        <v/>
      </c>
      <c r="Q104" s="102" t="str">
        <f t="shared" si="89"/>
        <v/>
      </c>
      <c r="R104" s="102" t="str">
        <f t="shared" ca="1" si="58"/>
        <v/>
      </c>
      <c r="S104" s="112" t="str">
        <f t="shared" si="79"/>
        <v/>
      </c>
      <c r="T104" s="112" t="str">
        <f t="shared" ca="1" si="59"/>
        <v/>
      </c>
      <c r="U104" s="1" t="str">
        <f t="shared" si="80"/>
        <v/>
      </c>
      <c r="V104" s="1" t="str">
        <f t="shared" ca="1" si="60"/>
        <v/>
      </c>
      <c r="W104" s="34" t="str">
        <f t="shared" ca="1" si="81"/>
        <v/>
      </c>
      <c r="Y104" s="2">
        <v>99</v>
      </c>
      <c r="Z104" s="6" t="str">
        <f t="shared" si="82"/>
        <v/>
      </c>
      <c r="AA104" s="139" t="str">
        <f>IF($E$5="Uniform Inputs",IF($Z104&gt;$E$12,"",MIN($E$21,($I$5+'Cash Flows'!$BX$8+INDEX('Cash Flows'!$C$19:$BW$19,1,MATCH(EOMONTH(AB104,MOD(-MONTH(AB104),3)-3),'Cash Flows'!$C$4:$BW$4,0)))/$E$12)),IF(AF104&gt;0,AF104,""))</f>
        <v/>
      </c>
      <c r="AB104" s="112" t="str">
        <f t="shared" si="83"/>
        <v/>
      </c>
      <c r="AC104" s="139" t="str">
        <f>IFERROR(IF($Z104&gt;$E$12,"",IF($E$5="Uniform Inputs",INDEX($D$45:$E$53,MATCH($AA$3,$B$45:$B$53,0),MATCH(AC$4,$D$44:$E$44,0)),IF(AH104=0,"",AH104))),"")</f>
        <v/>
      </c>
      <c r="AD104" s="139" t="str">
        <f>IFERROR(IF($Z104&gt;$E$12,"",IF($E$5="Uniform Inputs",INDEX($D$45:$E$53,MATCH($AA$3,$B$45:$B$53,0),MATCH(AD$4,$D$44:$E$44,0)),IF(AI104=0,"",AI104))),"")</f>
        <v/>
      </c>
      <c r="AE104" s="10" t="str">
        <f t="shared" si="84"/>
        <v/>
      </c>
      <c r="AF104" s="11" t="s">
        <v>22</v>
      </c>
      <c r="AG104" s="168" t="s">
        <v>22</v>
      </c>
      <c r="AH104" s="11" t="s">
        <v>22</v>
      </c>
      <c r="AI104" s="11" t="s">
        <v>22</v>
      </c>
      <c r="AJ104" s="139" t="str">
        <f>IF($E$5="Uniform Inputs",IF($Z104&gt;$E$13,"",IF($E$23="Pro-Rata",MIN(AL104*AE104,(($I$5+'Cash Flows'!$BX$8+INDEX('Cash Flows'!$C$19:$BW$19,1,MATCH(EOMONTH(AK104,MOD(-MONTH(AK104),3)-3),'Cash Flows'!$C$4:$BW$4,0)))-$AA$5)/$E$13),MIN($E$24,(($I$5+'Cash Flows'!$BX$8+INDEX('Cash Flows'!$C$19:$BW$19,1,MATCH(EOMONTH(AK104,MOD(-MONTH(AK104),3)-3),'Cash Flows'!$C$4:$BW$4,0)))-$AA$5)/$E$13))),IF(AO104=0,"",AO104))</f>
        <v/>
      </c>
      <c r="AK104" s="112" t="str">
        <f t="shared" si="61"/>
        <v/>
      </c>
      <c r="AL104" s="139" t="str">
        <f>IFERROR(IF($Z104&gt;$E$12,"",IF($E$5="Uniform Inputs",INDEX($D$45:$E$53,MATCH($AJ$3,$B$45:$B$53,0),MATCH(AL$4,$D$44:$E$44,0)),IF(AQ104=0,"",AQ104))),"")</f>
        <v/>
      </c>
      <c r="AM104" s="139" t="str">
        <f>IFERROR(IF($Z104&gt;$E$12,"",IF($E$5="Uniform Inputs",INDEX($D$45:$E$53,MATCH($AJ$3,$B$45:$B$53,0),MATCH(AM$4,$D$44:$E$44,0)),IF(AR104=0,"",AR104))),"")</f>
        <v/>
      </c>
      <c r="AN104" s="10" t="str">
        <f t="shared" si="90"/>
        <v/>
      </c>
      <c r="AO104" s="11" t="s">
        <v>22</v>
      </c>
      <c r="AP104" s="168" t="s">
        <v>22</v>
      </c>
      <c r="AQ104" s="11" t="s">
        <v>22</v>
      </c>
      <c r="AR104" s="11" t="s">
        <v>22</v>
      </c>
      <c r="AS104" s="139" t="str">
        <f>IF($E$5="Uniform Inputs",IF($Z104&gt;$E$14,"",IF($E$23="Pro-Rata",MIN(AU104*AN104,(($I$5+'Cash Flows'!$BX$8+INDEX('Cash Flows'!$C$19:$BW$19,1,MATCH(EOMONTH(AT104,MOD(-MONTH(AT104),3)-3),'Cash Flows'!$C$4:$BW$4,0)))-SUM($AJ$5,$AA$5))/$E$14),MIN($E$25,(($I$5+'Cash Flows'!$BX$8+INDEX('Cash Flows'!$C$19:$BW$19,1,MATCH(EOMONTH(AT104,MOD(-MONTH(AT104),3)-3),'Cash Flows'!$C$4:$BW$4,0)))-SUM($AJ$5,$AA$5))/$E$14))),IF(AX104=0,"",AX104))</f>
        <v/>
      </c>
      <c r="AT104" s="112" t="str">
        <f t="shared" si="63"/>
        <v/>
      </c>
      <c r="AU104" s="139" t="str">
        <f>IFERROR(IF($Z104&gt;$E$12,"",IF($E$5="Uniform Inputs",INDEX($D$45:$E$53,MATCH($AS$3,$B$45:$B$53,0),MATCH(AU$4,$D$44:$E$44,0)),IF(AZ104=0,"",AZ104))),"")</f>
        <v/>
      </c>
      <c r="AV104" s="139" t="str">
        <f>IFERROR(IF($Z104&gt;$E$12,"",IF($E$5="Uniform Inputs",INDEX($D$45:$E$53,MATCH($AS$3,$B$45:$B$53,0),MATCH(AV$4,$D$44:$E$44,0)),IF(BA104=0,"",BA104))),"")</f>
        <v/>
      </c>
      <c r="AW104" s="10" t="str">
        <f t="shared" si="91"/>
        <v/>
      </c>
      <c r="AX104" s="11" t="s">
        <v>22</v>
      </c>
      <c r="AY104" s="168" t="s">
        <v>22</v>
      </c>
      <c r="AZ104" s="11" t="s">
        <v>22</v>
      </c>
      <c r="BA104" s="11" t="s">
        <v>22</v>
      </c>
      <c r="BB104" s="139" t="str">
        <f>IF($E$5="Uniform Inputs",IF($Z104&gt;$E$15,"",IF($E$23="Pro-Rata",MIN(BD104*AW104,(($I$5+'Cash Flows'!$BX$8+INDEX('Cash Flows'!$C$19:$BW$19,1,MATCH(EOMONTH(BC104,MOD(-MONTH(BC104),3)-3),'Cash Flows'!$C$4:$BW$4,0)))-SUM($AS$5,$AJ$5,$AA$5))/$E$15),MIN($E$26,(($I$5+'Cash Flows'!$BX$8+INDEX('Cash Flows'!$C$19:$BW$19,1,MATCH(EOMONTH(BC104,MOD(-MONTH(BC104),3)-3),'Cash Flows'!$C$4:$BW$4,0)))-SUM($AS$5,$AJ$5,$AA$5))/$E$15))),IF(BG104=0,"",BG104))</f>
        <v/>
      </c>
      <c r="BC104" s="112" t="str">
        <f t="shared" si="65"/>
        <v/>
      </c>
      <c r="BD104" s="139" t="str">
        <f>IFERROR(IF($Z104&gt;$E$12,"",IF($E$5="Uniform Inputs",INDEX($D$45:$E$53,MATCH($BB$3,$B$45:$B$53,0),MATCH(BD$4,$D$44:$E$44,0)),IF(BI104=0,"",BI104))),"")</f>
        <v/>
      </c>
      <c r="BE104" s="139" t="str">
        <f>IFERROR(IF($Z104&gt;$E$12,"",IF($E$5="Uniform Inputs",INDEX($D$45:$E$53,MATCH($BB$3,$B$45:$B$53,0),MATCH(BE$4,$D$44:$E$44,0)),IF(BJ104=0,"",BJ104))),"")</f>
        <v/>
      </c>
      <c r="BF104" s="10" t="str">
        <f t="shared" si="92"/>
        <v/>
      </c>
      <c r="BG104" s="11" t="s">
        <v>22</v>
      </c>
      <c r="BH104" s="168" t="s">
        <v>22</v>
      </c>
      <c r="BI104" s="11" t="s">
        <v>22</v>
      </c>
      <c r="BJ104" s="11" t="s">
        <v>22</v>
      </c>
      <c r="BK104" s="139" t="str">
        <f>IF($E$5="Uniform Inputs",IF($Z104&gt;$E$16,"",IF($E$23="Pro-Rata",MIN(BM104*BF104,(($I$5+'Cash Flows'!$BX$8+INDEX('Cash Flows'!$C$19:$BW$19,1,MATCH(EOMONTH(BL104,MOD(-MONTH(BL104),3)-3),'Cash Flows'!$C$4:$BW$4,0)))-SUM($BB$5,$AS$5,$AJ$5,$AA$5))/$E$16),MIN($E$27,(($I$5+'Cash Flows'!$BX$8+INDEX('Cash Flows'!$C$19:$BW$19,1,MATCH(EOMONTH(BL104,MOD(-MONTH(BL104),3)-3),'Cash Flows'!$C$4:$BW$4,0)))-SUM($BB$5,$AS$5,$AJ$5,$AA$5))/$E$16))),IF(BP104=0,"",BP104))</f>
        <v/>
      </c>
      <c r="BL104" s="112" t="str">
        <f t="shared" si="67"/>
        <v/>
      </c>
      <c r="BM104" s="139" t="str">
        <f>IFERROR(IF($Z104&gt;$E$12,"",IF($E$5="Uniform Inputs",INDEX($D$45:$E$53,MATCH($BK$3,$B$45:$B$53,0),MATCH(BM$4,$D$44:$E$44,0)),IF(BR104=0,"",BR104))),"")</f>
        <v/>
      </c>
      <c r="BN104" s="139" t="str">
        <f>IFERROR(IF($Z104&gt;$E$12,"",IF($E$5="Uniform Inputs",INDEX($D$45:$E$53,MATCH($BK$3,$B$45:$B$53,0),MATCH(BN$4,$D$44:$E$44,0)),IF(BS104=0,"",BS104))),"")</f>
        <v/>
      </c>
      <c r="BO104" s="10" t="str">
        <f t="shared" si="93"/>
        <v/>
      </c>
      <c r="BP104" s="11" t="s">
        <v>22</v>
      </c>
      <c r="BQ104" s="168" t="s">
        <v>22</v>
      </c>
      <c r="BR104" s="11" t="s">
        <v>22</v>
      </c>
      <c r="BS104" s="11" t="s">
        <v>22</v>
      </c>
      <c r="BT104" s="139" t="str">
        <f t="shared" si="85"/>
        <v/>
      </c>
      <c r="BU104" s="112" t="str">
        <f t="shared" si="69"/>
        <v/>
      </c>
      <c r="BV104" s="139" t="str">
        <f>IFERROR(IF($Z104&gt;$E$12,"",IF($E$5="Uniform Inputs",INDEX($D$45:$E$53,MATCH($BT$3,$B$45:$B$53,0),MATCH(BV$4,$D$44:$E$44,0)),IF(CA104=0,"",CA104))),"")</f>
        <v/>
      </c>
      <c r="BW104" s="139" t="str">
        <f>IFERROR(IF($Z104&gt;$E$12,"",IF($E$5="Uniform Inputs",INDEX($D$45:$E$53,MATCH($BT$3,$B$45:$B$53,0),MATCH(BW$4,$D$44:$E$44,0)),IF(CB104=0,"",CB104))),"")</f>
        <v/>
      </c>
      <c r="BX104" s="10" t="str">
        <f t="shared" si="94"/>
        <v/>
      </c>
      <c r="BY104" s="11" t="s">
        <v>22</v>
      </c>
      <c r="BZ104" s="168" t="s">
        <v>22</v>
      </c>
      <c r="CA104" s="11" t="s">
        <v>22</v>
      </c>
      <c r="CB104" s="11" t="s">
        <v>22</v>
      </c>
      <c r="CC104" s="139" t="str">
        <f t="shared" si="86"/>
        <v/>
      </c>
      <c r="CD104" s="112" t="str">
        <f t="shared" si="71"/>
        <v/>
      </c>
      <c r="CE104" s="139" t="str">
        <f>IFERROR(IF($Z104&gt;$E$12,"",IF($E$5="Uniform Inputs",INDEX($D$45:$E$53,MATCH($CC$3,$B$45:$B$53,0),MATCH(CE$4,$D$44:$E$44,0)),IF(CJ104=0,"",CJ104))),"")</f>
        <v/>
      </c>
      <c r="CF104" s="139" t="str">
        <f>IFERROR(IF($Z104&gt;$E$12,"",IF($E$5="Uniform Inputs",INDEX($D$45:$E$53,MATCH($CC$3,$B$45:$B$53,0),MATCH(CF$4,$D$44:$E$44,0)),IF(CK104=0,"",CK104))),"")</f>
        <v/>
      </c>
      <c r="CG104" s="10" t="str">
        <f t="shared" si="95"/>
        <v/>
      </c>
      <c r="CH104" s="11" t="s">
        <v>22</v>
      </c>
      <c r="CI104" s="168" t="s">
        <v>22</v>
      </c>
      <c r="CJ104" s="11" t="s">
        <v>22</v>
      </c>
      <c r="CK104" s="11" t="s">
        <v>22</v>
      </c>
      <c r="CL104" s="139" t="str">
        <f t="shared" si="87"/>
        <v/>
      </c>
      <c r="CM104" s="112" t="str">
        <f t="shared" si="73"/>
        <v/>
      </c>
      <c r="CN104" s="139" t="str">
        <f>IFERROR(IF($Z104&gt;$E$12,"",IF($E$5="Uniform Inputs",INDEX($D$45:$E$53,MATCH($CL$3,$B$45:$B$53,0),MATCH(CN$4,$D$44:$E$44,0)),IF(CS104=0,"",CS104))),"")</f>
        <v/>
      </c>
      <c r="CO104" s="139" t="str">
        <f>IFERROR(IF($Z104&gt;$E$12,"",IF($E$5="Uniform Inputs",INDEX($D$45:$E$53,MATCH($CL$3,$B$45:$B$53,0),MATCH(CO$4,$D$44:$E$44,0)),IF(CT104=0,"",CT104))),"")</f>
        <v/>
      </c>
      <c r="CP104" s="10" t="str">
        <f t="shared" si="96"/>
        <v/>
      </c>
      <c r="CQ104" s="11" t="s">
        <v>22</v>
      </c>
      <c r="CR104" s="168" t="s">
        <v>22</v>
      </c>
      <c r="CS104" s="11" t="s">
        <v>22</v>
      </c>
      <c r="CT104" s="11" t="s">
        <v>22</v>
      </c>
      <c r="CU104" s="139" t="str">
        <f t="shared" si="88"/>
        <v/>
      </c>
      <c r="CV104" s="112" t="str">
        <f t="shared" si="75"/>
        <v/>
      </c>
      <c r="CW104" s="139" t="str">
        <f>IFERROR(IF($Z104&gt;$E$12,"",IF($E$5="Uniform Inputs",INDEX($D$45:$E$53,MATCH($CU$3,$B$45:$B$53,0),MATCH(CW$4,$D$44:$E$44,0)),IF(DB104=0,"",DB104))),"")</f>
        <v/>
      </c>
      <c r="CX104" s="139" t="str">
        <f>IFERROR(IF($Z104&gt;$E$12,"",IF($E$5="Uniform Inputs",INDEX($D$45:$E$53,MATCH($CU$3,$B$45:$B$53,0),MATCH(CX$4,$D$44:$E$44,0)),IF(DC104=0,"",DC104))),"")</f>
        <v/>
      </c>
      <c r="CY104" s="10" t="str">
        <f t="shared" si="97"/>
        <v/>
      </c>
      <c r="CZ104" s="11" t="s">
        <v>22</v>
      </c>
      <c r="DA104" s="168" t="s">
        <v>22</v>
      </c>
      <c r="DB104" s="11" t="s">
        <v>22</v>
      </c>
      <c r="DC104" s="11" t="s">
        <v>22</v>
      </c>
    </row>
    <row r="105" spans="2:107" x14ac:dyDescent="0.25">
      <c r="B105" s="3" t="s">
        <v>22</v>
      </c>
      <c r="C105" s="3" t="s">
        <v>22</v>
      </c>
      <c r="D105" s="2" t="s">
        <v>22</v>
      </c>
      <c r="K105" s="6" t="str">
        <f t="shared" si="77"/>
        <v/>
      </c>
      <c r="O105" s="6" t="str">
        <f t="shared" si="78"/>
        <v/>
      </c>
      <c r="P105" s="35" t="str">
        <f t="shared" si="56"/>
        <v/>
      </c>
      <c r="Q105" s="102" t="str">
        <f t="shared" si="89"/>
        <v/>
      </c>
      <c r="R105" s="102" t="str">
        <f t="shared" ca="1" si="58"/>
        <v/>
      </c>
      <c r="S105" s="112" t="str">
        <f t="shared" si="79"/>
        <v/>
      </c>
      <c r="T105" s="112" t="str">
        <f t="shared" ca="1" si="59"/>
        <v/>
      </c>
      <c r="U105" s="1" t="str">
        <f t="shared" si="80"/>
        <v/>
      </c>
      <c r="V105" s="1" t="str">
        <f t="shared" ca="1" si="60"/>
        <v/>
      </c>
      <c r="W105" s="34" t="str">
        <f t="shared" ca="1" si="81"/>
        <v/>
      </c>
      <c r="Y105" s="2">
        <v>100</v>
      </c>
      <c r="Z105" s="6" t="str">
        <f t="shared" si="82"/>
        <v/>
      </c>
      <c r="AA105" s="139" t="str">
        <f>IF($E$5="Uniform Inputs",IF($Z105&gt;$E$12,"",MIN($E$21,($I$5+'Cash Flows'!$BX$8+INDEX('Cash Flows'!$C$19:$BW$19,1,MATCH(EOMONTH(AB105,MOD(-MONTH(AB105),3)-3),'Cash Flows'!$C$4:$BW$4,0)))/$E$12)),IF(AF105&gt;0,AF105,""))</f>
        <v/>
      </c>
      <c r="AB105" s="112" t="str">
        <f t="shared" si="83"/>
        <v/>
      </c>
      <c r="AC105" s="139" t="str">
        <f>IFERROR(IF($Z105&gt;$E$12,"",IF($E$5="Uniform Inputs",INDEX($D$45:$E$53,MATCH($AA$3,$B$45:$B$53,0),MATCH(AC$4,$D$44:$E$44,0)),IF(AH105=0,"",AH105))),"")</f>
        <v/>
      </c>
      <c r="AD105" s="139" t="str">
        <f>IFERROR(IF($Z105&gt;$E$12,"",IF($E$5="Uniform Inputs",INDEX($D$45:$E$53,MATCH($AA$3,$B$45:$B$53,0),MATCH(AD$4,$D$44:$E$44,0)),IF(AI105=0,"",AI105))),"")</f>
        <v/>
      </c>
      <c r="AE105" s="10" t="str">
        <f t="shared" si="84"/>
        <v/>
      </c>
      <c r="AF105" s="11" t="s">
        <v>22</v>
      </c>
      <c r="AG105" s="168" t="s">
        <v>22</v>
      </c>
      <c r="AH105" s="11" t="s">
        <v>22</v>
      </c>
      <c r="AI105" s="11" t="s">
        <v>22</v>
      </c>
      <c r="AJ105" s="139" t="str">
        <f>IF($E$5="Uniform Inputs",IF($Z105&gt;$E$13,"",IF($E$23="Pro-Rata",MIN(AL105*AE105,(($I$5+'Cash Flows'!$BX$8+INDEX('Cash Flows'!$C$19:$BW$19,1,MATCH(EOMONTH(AK105,MOD(-MONTH(AK105),3)-3),'Cash Flows'!$C$4:$BW$4,0)))-$AA$5)/$E$13),MIN($E$24,(($I$5+'Cash Flows'!$BX$8+INDEX('Cash Flows'!$C$19:$BW$19,1,MATCH(EOMONTH(AK105,MOD(-MONTH(AK105),3)-3),'Cash Flows'!$C$4:$BW$4,0)))-$AA$5)/$E$13))),IF(AO105=0,"",AO105))</f>
        <v/>
      </c>
      <c r="AK105" s="112" t="str">
        <f t="shared" si="61"/>
        <v/>
      </c>
      <c r="AL105" s="139" t="str">
        <f>IFERROR(IF($Z105&gt;$E$12,"",IF($E$5="Uniform Inputs",INDEX($D$45:$E$53,MATCH($AJ$3,$B$45:$B$53,0),MATCH(AL$4,$D$44:$E$44,0)),IF(AQ105=0,"",AQ105))),"")</f>
        <v/>
      </c>
      <c r="AM105" s="139" t="str">
        <f>IFERROR(IF($Z105&gt;$E$12,"",IF($E$5="Uniform Inputs",INDEX($D$45:$E$53,MATCH($AJ$3,$B$45:$B$53,0),MATCH(AM$4,$D$44:$E$44,0)),IF(AR105=0,"",AR105))),"")</f>
        <v/>
      </c>
      <c r="AN105" s="10" t="str">
        <f t="shared" si="90"/>
        <v/>
      </c>
      <c r="AO105" s="11" t="s">
        <v>22</v>
      </c>
      <c r="AP105" s="168" t="s">
        <v>22</v>
      </c>
      <c r="AQ105" s="11" t="s">
        <v>22</v>
      </c>
      <c r="AR105" s="11" t="s">
        <v>22</v>
      </c>
      <c r="AS105" s="139" t="str">
        <f>IF($E$5="Uniform Inputs",IF($Z105&gt;$E$14,"",IF($E$23="Pro-Rata",MIN(AU105*AN105,(($I$5+'Cash Flows'!$BX$8+INDEX('Cash Flows'!$C$19:$BW$19,1,MATCH(EOMONTH(AT105,MOD(-MONTH(AT105),3)-3),'Cash Flows'!$C$4:$BW$4,0)))-SUM($AJ$5,$AA$5))/$E$14),MIN($E$25,(($I$5+'Cash Flows'!$BX$8+INDEX('Cash Flows'!$C$19:$BW$19,1,MATCH(EOMONTH(AT105,MOD(-MONTH(AT105),3)-3),'Cash Flows'!$C$4:$BW$4,0)))-SUM($AJ$5,$AA$5))/$E$14))),IF(AX105=0,"",AX105))</f>
        <v/>
      </c>
      <c r="AT105" s="112" t="str">
        <f t="shared" si="63"/>
        <v/>
      </c>
      <c r="AU105" s="139" t="str">
        <f>IFERROR(IF($Z105&gt;$E$12,"",IF($E$5="Uniform Inputs",INDEX($D$45:$E$53,MATCH($AS$3,$B$45:$B$53,0),MATCH(AU$4,$D$44:$E$44,0)),IF(AZ105=0,"",AZ105))),"")</f>
        <v/>
      </c>
      <c r="AV105" s="139" t="str">
        <f>IFERROR(IF($Z105&gt;$E$12,"",IF($E$5="Uniform Inputs",INDEX($D$45:$E$53,MATCH($AS$3,$B$45:$B$53,0),MATCH(AV$4,$D$44:$E$44,0)),IF(BA105=0,"",BA105))),"")</f>
        <v/>
      </c>
      <c r="AW105" s="10" t="str">
        <f t="shared" si="91"/>
        <v/>
      </c>
      <c r="AX105" s="11" t="s">
        <v>22</v>
      </c>
      <c r="AY105" s="168" t="s">
        <v>22</v>
      </c>
      <c r="AZ105" s="11" t="s">
        <v>22</v>
      </c>
      <c r="BA105" s="11" t="s">
        <v>22</v>
      </c>
      <c r="BB105" s="139" t="str">
        <f>IF($E$5="Uniform Inputs",IF($Z105&gt;$E$15,"",IF($E$23="Pro-Rata",MIN(BD105*AW105,(($I$5+'Cash Flows'!$BX$8+INDEX('Cash Flows'!$C$19:$BW$19,1,MATCH(EOMONTH(BC105,MOD(-MONTH(BC105),3)-3),'Cash Flows'!$C$4:$BW$4,0)))-SUM($AS$5,$AJ$5,$AA$5))/$E$15),MIN($E$26,(($I$5+'Cash Flows'!$BX$8+INDEX('Cash Flows'!$C$19:$BW$19,1,MATCH(EOMONTH(BC105,MOD(-MONTH(BC105),3)-3),'Cash Flows'!$C$4:$BW$4,0)))-SUM($AS$5,$AJ$5,$AA$5))/$E$15))),IF(BG105=0,"",BG105))</f>
        <v/>
      </c>
      <c r="BC105" s="112" t="str">
        <f t="shared" si="65"/>
        <v/>
      </c>
      <c r="BD105" s="139" t="str">
        <f>IFERROR(IF($Z105&gt;$E$12,"",IF($E$5="Uniform Inputs",INDEX($D$45:$E$53,MATCH($BB$3,$B$45:$B$53,0),MATCH(BD$4,$D$44:$E$44,0)),IF(BI105=0,"",BI105))),"")</f>
        <v/>
      </c>
      <c r="BE105" s="139" t="str">
        <f>IFERROR(IF($Z105&gt;$E$12,"",IF($E$5="Uniform Inputs",INDEX($D$45:$E$53,MATCH($BB$3,$B$45:$B$53,0),MATCH(BE$4,$D$44:$E$44,0)),IF(BJ105=0,"",BJ105))),"")</f>
        <v/>
      </c>
      <c r="BF105" s="10" t="str">
        <f t="shared" si="92"/>
        <v/>
      </c>
      <c r="BG105" s="11" t="s">
        <v>22</v>
      </c>
      <c r="BH105" s="168" t="s">
        <v>22</v>
      </c>
      <c r="BI105" s="11" t="s">
        <v>22</v>
      </c>
      <c r="BJ105" s="11" t="s">
        <v>22</v>
      </c>
      <c r="BK105" s="139" t="str">
        <f>IF($E$5="Uniform Inputs",IF($Z105&gt;$E$16,"",IF($E$23="Pro-Rata",MIN(BM105*BF105,(($I$5+'Cash Flows'!$BX$8+INDEX('Cash Flows'!$C$19:$BW$19,1,MATCH(EOMONTH(BL105,MOD(-MONTH(BL105),3)-3),'Cash Flows'!$C$4:$BW$4,0)))-SUM($BB$5,$AS$5,$AJ$5,$AA$5))/$E$16),MIN($E$27,(($I$5+'Cash Flows'!$BX$8+INDEX('Cash Flows'!$C$19:$BW$19,1,MATCH(EOMONTH(BL105,MOD(-MONTH(BL105),3)-3),'Cash Flows'!$C$4:$BW$4,0)))-SUM($BB$5,$AS$5,$AJ$5,$AA$5))/$E$16))),IF(BP105=0,"",BP105))</f>
        <v/>
      </c>
      <c r="BL105" s="112" t="str">
        <f t="shared" si="67"/>
        <v/>
      </c>
      <c r="BM105" s="139" t="str">
        <f>IFERROR(IF($Z105&gt;$E$12,"",IF($E$5="Uniform Inputs",INDEX($D$45:$E$53,MATCH($BK$3,$B$45:$B$53,0),MATCH(BM$4,$D$44:$E$44,0)),IF(BR105=0,"",BR105))),"")</f>
        <v/>
      </c>
      <c r="BN105" s="139" t="str">
        <f>IFERROR(IF($Z105&gt;$E$12,"",IF($E$5="Uniform Inputs",INDEX($D$45:$E$53,MATCH($BK$3,$B$45:$B$53,0),MATCH(BN$4,$D$44:$E$44,0)),IF(BS105=0,"",BS105))),"")</f>
        <v/>
      </c>
      <c r="BO105" s="10" t="str">
        <f t="shared" si="93"/>
        <v/>
      </c>
      <c r="BP105" s="11" t="s">
        <v>22</v>
      </c>
      <c r="BQ105" s="168" t="s">
        <v>22</v>
      </c>
      <c r="BR105" s="11" t="s">
        <v>22</v>
      </c>
      <c r="BS105" s="11" t="s">
        <v>22</v>
      </c>
      <c r="BT105" s="139" t="str">
        <f t="shared" si="85"/>
        <v/>
      </c>
      <c r="BU105" s="112" t="str">
        <f t="shared" si="69"/>
        <v/>
      </c>
      <c r="BV105" s="139" t="str">
        <f>IFERROR(IF($Z105&gt;$E$12,"",IF($E$5="Uniform Inputs",INDEX($D$45:$E$53,MATCH($BT$3,$B$45:$B$53,0),MATCH(BV$4,$D$44:$E$44,0)),IF(CA105=0,"",CA105))),"")</f>
        <v/>
      </c>
      <c r="BW105" s="139" t="str">
        <f>IFERROR(IF($Z105&gt;$E$12,"",IF($E$5="Uniform Inputs",INDEX($D$45:$E$53,MATCH($BT$3,$B$45:$B$53,0),MATCH(BW$4,$D$44:$E$44,0)),IF(CB105=0,"",CB105))),"")</f>
        <v/>
      </c>
      <c r="BX105" s="10" t="str">
        <f t="shared" si="94"/>
        <v/>
      </c>
      <c r="BY105" s="11" t="s">
        <v>22</v>
      </c>
      <c r="BZ105" s="168" t="s">
        <v>22</v>
      </c>
      <c r="CA105" s="11" t="s">
        <v>22</v>
      </c>
      <c r="CB105" s="11" t="s">
        <v>22</v>
      </c>
      <c r="CC105" s="139" t="str">
        <f t="shared" si="86"/>
        <v/>
      </c>
      <c r="CD105" s="112" t="str">
        <f t="shared" si="71"/>
        <v/>
      </c>
      <c r="CE105" s="139" t="str">
        <f>IFERROR(IF($Z105&gt;$E$12,"",IF($E$5="Uniform Inputs",INDEX($D$45:$E$53,MATCH($CC$3,$B$45:$B$53,0),MATCH(CE$4,$D$44:$E$44,0)),IF(CJ105=0,"",CJ105))),"")</f>
        <v/>
      </c>
      <c r="CF105" s="139" t="str">
        <f>IFERROR(IF($Z105&gt;$E$12,"",IF($E$5="Uniform Inputs",INDEX($D$45:$E$53,MATCH($CC$3,$B$45:$B$53,0),MATCH(CF$4,$D$44:$E$44,0)),IF(CK105=0,"",CK105))),"")</f>
        <v/>
      </c>
      <c r="CG105" s="10" t="str">
        <f t="shared" si="95"/>
        <v/>
      </c>
      <c r="CH105" s="11" t="s">
        <v>22</v>
      </c>
      <c r="CI105" s="168" t="s">
        <v>22</v>
      </c>
      <c r="CJ105" s="11" t="s">
        <v>22</v>
      </c>
      <c r="CK105" s="11" t="s">
        <v>22</v>
      </c>
      <c r="CL105" s="139" t="str">
        <f t="shared" si="87"/>
        <v/>
      </c>
      <c r="CM105" s="112" t="str">
        <f t="shared" si="73"/>
        <v/>
      </c>
      <c r="CN105" s="139" t="str">
        <f>IFERROR(IF($Z105&gt;$E$12,"",IF($E$5="Uniform Inputs",INDEX($D$45:$E$53,MATCH($CL$3,$B$45:$B$53,0),MATCH(CN$4,$D$44:$E$44,0)),IF(CS105=0,"",CS105))),"")</f>
        <v/>
      </c>
      <c r="CO105" s="139" t="str">
        <f>IFERROR(IF($Z105&gt;$E$12,"",IF($E$5="Uniform Inputs",INDEX($D$45:$E$53,MATCH($CL$3,$B$45:$B$53,0),MATCH(CO$4,$D$44:$E$44,0)),IF(CT105=0,"",CT105))),"")</f>
        <v/>
      </c>
      <c r="CP105" s="10" t="str">
        <f t="shared" si="96"/>
        <v/>
      </c>
      <c r="CQ105" s="11" t="s">
        <v>22</v>
      </c>
      <c r="CR105" s="168" t="s">
        <v>22</v>
      </c>
      <c r="CS105" s="11" t="s">
        <v>22</v>
      </c>
      <c r="CT105" s="11" t="s">
        <v>22</v>
      </c>
      <c r="CU105" s="139" t="str">
        <f t="shared" si="88"/>
        <v/>
      </c>
      <c r="CV105" s="112" t="str">
        <f t="shared" si="75"/>
        <v/>
      </c>
      <c r="CW105" s="139" t="str">
        <f>IFERROR(IF($Z105&gt;$E$12,"",IF($E$5="Uniform Inputs",INDEX($D$45:$E$53,MATCH($CU$3,$B$45:$B$53,0),MATCH(CW$4,$D$44:$E$44,0)),IF(DB105=0,"",DB105))),"")</f>
        <v/>
      </c>
      <c r="CX105" s="139" t="str">
        <f>IFERROR(IF($Z105&gt;$E$12,"",IF($E$5="Uniform Inputs",INDEX($D$45:$E$53,MATCH($CU$3,$B$45:$B$53,0),MATCH(CX$4,$D$44:$E$44,0)),IF(DC105=0,"",DC105))),"")</f>
        <v/>
      </c>
      <c r="CY105" s="10" t="str">
        <f t="shared" si="97"/>
        <v/>
      </c>
      <c r="CZ105" s="11" t="s">
        <v>22</v>
      </c>
      <c r="DA105" s="168" t="s">
        <v>22</v>
      </c>
      <c r="DB105" s="11" t="s">
        <v>22</v>
      </c>
      <c r="DC105" s="11" t="s">
        <v>22</v>
      </c>
    </row>
  </sheetData>
  <phoneticPr fontId="6" type="noConversion"/>
  <conditionalFormatting sqref="G7:I7">
    <cfRule type="expression" dxfId="0" priority="1">
      <formula>$I$7&gt;$I$6</formula>
    </cfRule>
  </conditionalFormatting>
  <dataValidations count="19">
    <dataValidation type="list" allowBlank="1" showInputMessage="1" showErrorMessage="1" sqref="E5" xr:uid="{D20EDB4C-EC77-465A-9648-C9CD5485C71A}">
      <formula1>"Uniform Inputs,Custom Inputs"</formula1>
    </dataValidation>
    <dataValidation type="whole" operator="lessThanOrEqual" allowBlank="1" showInputMessage="1" showErrorMessage="1" errorTitle="Error" error="Please input a whole number less than or equal to the the number of expected deals receiving follow on (3)" sqref="E16" xr:uid="{8B9BF7AA-8C08-41EB-98E0-9DACAE8EA65E}">
      <formula1>E12</formula1>
    </dataValidation>
    <dataValidation type="whole" operator="lessThanOrEqual" allowBlank="1" showInputMessage="1" showErrorMessage="1" errorTitle="Error" error="Please input a whole number less than or equal to the the number of expected deals receiving follow on (1)" sqref="E14" xr:uid="{CE7F89B4-210F-4CE2-9016-73ED1484EB47}">
      <formula1>E12</formula1>
    </dataValidation>
    <dataValidation type="whole" operator="lessThanOrEqual" allowBlank="1" showInputMessage="1" showErrorMessage="1" errorTitle="Error" error="Please input a whole number less than or equal to the the number of expected deals receiving follow on (2)" sqref="E15" xr:uid="{5E3D9A29-0A69-4E9A-8571-65456A9B97F4}">
      <formula1>E12</formula1>
    </dataValidation>
    <dataValidation type="list" allowBlank="1" showInputMessage="1" showErrorMessage="1" sqref="E23" xr:uid="{C45853F6-2689-4BA6-9AFC-C0DD1BA3B06C}">
      <formula1>"Pro-Rata,Other Fixed Amount (Enter Below)"</formula1>
    </dataValidation>
    <dataValidation type="list" allowBlank="1" showInputMessage="1" showErrorMessage="1" sqref="E22" xr:uid="{6ADFC631-0FAF-433F-B9F6-B9B4EBF4AC91}">
      <formula1>"Pre-Seed,Seed,Series A,Series B,Series C,Series D,Series E"</formula1>
    </dataValidation>
    <dataValidation type="list" allowBlank="1" showInputMessage="1" showErrorMessage="1" sqref="E12" xr:uid="{6E527E1C-FAFE-440C-89FC-F88C0E9381C0}">
      <formula1>$Y$6:$Y$105</formula1>
    </dataValidation>
    <dataValidation type="list" allowBlank="1" showInputMessage="1" showErrorMessage="1" sqref="E39" xr:uid="{5ED55286-D345-4C0E-B377-A303BCDBDA0E}">
      <formula1>$Y$9:$Y$20</formula1>
    </dataValidation>
    <dataValidation type="list" allowBlank="1" showInputMessage="1" showErrorMessage="1" sqref="E38" xr:uid="{EA6ABBCA-76AD-4C2A-A1A1-B11B993DFCA9}">
      <formula1>$Y$10:$Y$20</formula1>
    </dataValidation>
    <dataValidation type="custom" allowBlank="1" showInputMessage="1" showErrorMessage="1" errorTitle="Error" error="Management fee floor must be less than or equal to Management Fee" sqref="E37" xr:uid="{3F7555DE-69A7-447D-A994-9D994841D6E6}">
      <formula1>E37&lt;=E35</formula1>
    </dataValidation>
    <dataValidation type="custom" allowBlank="1" showInputMessage="1" showErrorMessage="1" errorTitle="Error" error="Management Fee must be greater than or equal to Management Fee Floor" sqref="E35" xr:uid="{4FECBF6B-41D7-47B7-9F42-D6E0D3216F64}">
      <formula1>E35&gt;=E37</formula1>
    </dataValidation>
    <dataValidation type="whole" operator="equal" allowBlank="1" showInputMessage="1" showErrorMessage="1" sqref="D32" xr:uid="{542CCC82-81F6-455C-B7B9-66076A6DDB9D}">
      <formula1>1</formula1>
    </dataValidation>
    <dataValidation type="list" allowBlank="1" showInputMessage="1" showErrorMessage="1" sqref="E34" xr:uid="{E8661940-A64E-4627-B4AC-1A242C3DAA2B}">
      <formula1>"0%,50%,60%,70%,80%,90%,100%"</formula1>
    </dataValidation>
    <dataValidation type="custom" allowBlank="1" showInputMessage="1" showErrorMessage="1" sqref="E33" xr:uid="{AB0C674C-90F5-4971-AF84-8F48C078A055}">
      <formula1>E33&gt;=D33</formula1>
    </dataValidation>
    <dataValidation type="custom" allowBlank="1" showInputMessage="1" showErrorMessage="1" errorTitle="Error" error="Hurdle must be higher than lower hurdle. If there are no premium carry hurdles, set all hurdles to 1.0x." sqref="E32" xr:uid="{74685D04-631D-4C44-959C-663E03ACA863}">
      <formula1>E32&gt;=D32</formula1>
    </dataValidation>
    <dataValidation type="list" allowBlank="1" showInputMessage="1" showErrorMessage="1" sqref="E28" xr:uid="{449C50BB-C5DD-4D0C-8576-180BE2EC1322}">
      <formula1>"0.50,0.75,1.00,1.25,1.50,1.75,2.00"</formula1>
    </dataValidation>
    <dataValidation type="decimal" operator="greaterThanOrEqual" allowBlank="1" showInputMessage="1" showErrorMessage="1" errorTitle="Pace too slow" error="At this pace, not all initial investments will be made within the investment period of the fund. Please either increase investment period, reduce expected # of deals, or increase pace." sqref="E17" xr:uid="{736A4DBD-5B05-45AB-A71F-4F6AB4296836}">
      <formula1>E12/E39/12</formula1>
    </dataValidation>
    <dataValidation type="whole" operator="lessThanOrEqual" allowBlank="1" showInputMessage="1" showErrorMessage="1" sqref="E13" xr:uid="{C7A27800-2C1C-46D8-9E54-0E461FEBE9D0}">
      <formula1>E12</formula1>
    </dataValidation>
    <dataValidation type="list" allowBlank="1" showInputMessage="1" showErrorMessage="1" sqref="M6:N105" xr:uid="{DCDFA4A8-7AB4-453B-AA36-089E9B7122FC}">
      <formula1>$B$45:$B$53</formula1>
    </dataValidation>
  </dataValidations>
  <pageMargins left="0.7" right="0.7" top="0.75" bottom="0.75" header="0.3" footer="0.3"/>
  <pageSetup orientation="portrait" r:id="rId1"/>
  <headerFooter>
    <oddHeader>&amp;CSVB Capital Tempate</oddHeader>
    <oddFooter>&amp;C&amp;1#&amp;"Calibri"&amp;10&amp;KFF8C00SVB Confidential</oddFooter>
  </headerFooter>
  <customProperties>
    <customPr name="Guid" r:id="rId2"/>
  </customProperties>
  <drawing r:id="rId3"/>
  <legacyDrawing r:id="rId4"/>
  <mc:AlternateContent xmlns:mc="http://schemas.openxmlformats.org/markup-compatibility/2006">
    <mc:Choice Requires="x14">
      <controls>
        <mc:AlternateContent xmlns:mc="http://schemas.openxmlformats.org/markup-compatibility/2006">
          <mc:Choice Requires="x14">
            <control shapeId="2057" r:id="rId5" name="Button 9">
              <controlPr defaultSize="0" print="0" autoFill="0" autoPict="0" macro="[0]!Uniform_to_Custom">
                <anchor moveWithCells="1">
                  <from>
                    <xdr:col>3</xdr:col>
                    <xdr:colOff>904875</xdr:colOff>
                    <xdr:row>5</xdr:row>
                    <xdr:rowOff>57150</xdr:rowOff>
                  </from>
                  <to>
                    <xdr:col>5</xdr:col>
                    <xdr:colOff>9525</xdr:colOff>
                    <xdr:row>6</xdr:row>
                    <xdr:rowOff>104775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D5C833-BC81-4B18-B394-4CA4F520CAED}">
  <sheetPr codeName="Sheet3"/>
  <dimension ref="A1:BX28"/>
  <sheetViews>
    <sheetView showGridLines="0" zoomScaleNormal="100" workbookViewId="0"/>
  </sheetViews>
  <sheetFormatPr defaultRowHeight="15" x14ac:dyDescent="0.25"/>
  <cols>
    <col min="1" max="1" width="5.85546875" style="2" customWidth="1"/>
    <col min="2" max="2" width="38.5703125" bestFit="1" customWidth="1"/>
    <col min="3" max="3" width="16" bestFit="1" customWidth="1"/>
    <col min="4" max="75" width="13.7109375" customWidth="1"/>
    <col min="76" max="76" width="14.42578125" style="138" bestFit="1" customWidth="1"/>
  </cols>
  <sheetData>
    <row r="1" spans="1:76" s="80" customFormat="1" x14ac:dyDescent="0.25">
      <c r="A1" s="3"/>
      <c r="B1"/>
      <c r="C1" s="103"/>
      <c r="BX1" s="154"/>
    </row>
    <row r="2" spans="1:76" s="80" customFormat="1" x14ac:dyDescent="0.25">
      <c r="A2" s="2"/>
      <c r="B2"/>
      <c r="C2" s="75"/>
      <c r="D2" s="161">
        <f t="shared" ref="D2:G2" si="0">$D$3</f>
        <v>1</v>
      </c>
      <c r="E2" s="161">
        <f t="shared" si="0"/>
        <v>1</v>
      </c>
      <c r="F2" s="161">
        <f t="shared" si="0"/>
        <v>1</v>
      </c>
      <c r="G2" s="161">
        <f t="shared" si="0"/>
        <v>1</v>
      </c>
      <c r="H2" s="161">
        <f t="shared" ref="H2:K2" si="1">$H$3</f>
        <v>2</v>
      </c>
      <c r="I2" s="161">
        <f t="shared" si="1"/>
        <v>2</v>
      </c>
      <c r="J2" s="161">
        <f t="shared" si="1"/>
        <v>2</v>
      </c>
      <c r="K2" s="161">
        <f t="shared" si="1"/>
        <v>2</v>
      </c>
      <c r="L2" s="161">
        <f t="shared" ref="L2:O2" si="2">$L$3</f>
        <v>3</v>
      </c>
      <c r="M2" s="161">
        <f t="shared" si="2"/>
        <v>3</v>
      </c>
      <c r="N2" s="161">
        <f t="shared" si="2"/>
        <v>3</v>
      </c>
      <c r="O2" s="161">
        <f t="shared" si="2"/>
        <v>3</v>
      </c>
      <c r="P2" s="161">
        <f t="shared" ref="P2:S2" si="3">$P$3</f>
        <v>4</v>
      </c>
      <c r="Q2" s="161">
        <f t="shared" si="3"/>
        <v>4</v>
      </c>
      <c r="R2" s="161">
        <f t="shared" si="3"/>
        <v>4</v>
      </c>
      <c r="S2" s="161">
        <f t="shared" si="3"/>
        <v>4</v>
      </c>
      <c r="T2" s="161">
        <f t="shared" ref="T2:W2" si="4">$T$3</f>
        <v>5</v>
      </c>
      <c r="U2" s="161">
        <f t="shared" si="4"/>
        <v>5</v>
      </c>
      <c r="V2" s="161">
        <f t="shared" si="4"/>
        <v>5</v>
      </c>
      <c r="W2" s="161">
        <f t="shared" si="4"/>
        <v>5</v>
      </c>
      <c r="X2" s="161">
        <f t="shared" ref="X2:AA2" si="5">$X$3</f>
        <v>6</v>
      </c>
      <c r="Y2" s="161">
        <f t="shared" si="5"/>
        <v>6</v>
      </c>
      <c r="Z2" s="161">
        <f t="shared" si="5"/>
        <v>6</v>
      </c>
      <c r="AA2" s="161">
        <f t="shared" si="5"/>
        <v>6</v>
      </c>
      <c r="AB2" s="161">
        <f t="shared" ref="AB2:AE2" si="6">$AB$3</f>
        <v>7</v>
      </c>
      <c r="AC2" s="161">
        <f t="shared" si="6"/>
        <v>7</v>
      </c>
      <c r="AD2" s="161">
        <f t="shared" si="6"/>
        <v>7</v>
      </c>
      <c r="AE2" s="161">
        <f t="shared" si="6"/>
        <v>7</v>
      </c>
      <c r="AF2" s="161">
        <f t="shared" ref="AF2:AI2" si="7">$AF$3</f>
        <v>8</v>
      </c>
      <c r="AG2" s="161">
        <f t="shared" si="7"/>
        <v>8</v>
      </c>
      <c r="AH2" s="161">
        <f t="shared" si="7"/>
        <v>8</v>
      </c>
      <c r="AI2" s="161">
        <f t="shared" si="7"/>
        <v>8</v>
      </c>
      <c r="AJ2" s="161">
        <f t="shared" ref="AJ2:AM2" si="8">$AJ$3</f>
        <v>9</v>
      </c>
      <c r="AK2" s="161">
        <f t="shared" si="8"/>
        <v>9</v>
      </c>
      <c r="AL2" s="161">
        <f t="shared" si="8"/>
        <v>9</v>
      </c>
      <c r="AM2" s="161">
        <f t="shared" si="8"/>
        <v>9</v>
      </c>
      <c r="AN2" s="161">
        <f t="shared" ref="AN2:AQ2" si="9">$AN$3</f>
        <v>10</v>
      </c>
      <c r="AO2" s="161">
        <f t="shared" si="9"/>
        <v>10</v>
      </c>
      <c r="AP2" s="161">
        <f t="shared" si="9"/>
        <v>10</v>
      </c>
      <c r="AQ2" s="161">
        <f t="shared" si="9"/>
        <v>10</v>
      </c>
      <c r="AR2" s="161">
        <f t="shared" ref="AR2:AU2" si="10">$AR$3</f>
        <v>11</v>
      </c>
      <c r="AS2" s="161">
        <f t="shared" si="10"/>
        <v>11</v>
      </c>
      <c r="AT2" s="161">
        <f t="shared" si="10"/>
        <v>11</v>
      </c>
      <c r="AU2" s="161">
        <f t="shared" si="10"/>
        <v>11</v>
      </c>
      <c r="AV2" s="161">
        <f t="shared" ref="AV2:AY2" si="11">$AV$3</f>
        <v>12</v>
      </c>
      <c r="AW2" s="161">
        <f t="shared" si="11"/>
        <v>12</v>
      </c>
      <c r="AX2" s="161">
        <f t="shared" si="11"/>
        <v>12</v>
      </c>
      <c r="AY2" s="161">
        <f t="shared" si="11"/>
        <v>12</v>
      </c>
      <c r="AZ2" s="161">
        <f t="shared" ref="AZ2:BC2" si="12">$AZ$3</f>
        <v>13</v>
      </c>
      <c r="BA2" s="161">
        <f t="shared" si="12"/>
        <v>13</v>
      </c>
      <c r="BB2" s="161">
        <f t="shared" si="12"/>
        <v>13</v>
      </c>
      <c r="BC2" s="161">
        <f t="shared" si="12"/>
        <v>13</v>
      </c>
      <c r="BD2" s="161">
        <f t="shared" ref="BD2:BG2" si="13">$BD$3</f>
        <v>14</v>
      </c>
      <c r="BE2" s="161">
        <f t="shared" si="13"/>
        <v>14</v>
      </c>
      <c r="BF2" s="161">
        <f t="shared" si="13"/>
        <v>14</v>
      </c>
      <c r="BG2" s="161">
        <f t="shared" si="13"/>
        <v>14</v>
      </c>
      <c r="BH2" s="161">
        <f t="shared" ref="BH2:BK2" si="14">$BH$3</f>
        <v>15</v>
      </c>
      <c r="BI2" s="161">
        <f t="shared" si="14"/>
        <v>15</v>
      </c>
      <c r="BJ2" s="161">
        <f t="shared" si="14"/>
        <v>15</v>
      </c>
      <c r="BK2" s="161">
        <f t="shared" si="14"/>
        <v>15</v>
      </c>
      <c r="BL2" s="161">
        <f t="shared" ref="BL2:BO2" si="15">$BL$3</f>
        <v>16</v>
      </c>
      <c r="BM2" s="161">
        <f t="shared" si="15"/>
        <v>16</v>
      </c>
      <c r="BN2" s="161">
        <f t="shared" si="15"/>
        <v>16</v>
      </c>
      <c r="BO2" s="161">
        <f t="shared" si="15"/>
        <v>16</v>
      </c>
      <c r="BP2" s="161">
        <f t="shared" ref="BP2:BS2" si="16">$BP$3</f>
        <v>17</v>
      </c>
      <c r="BQ2" s="161">
        <f t="shared" si="16"/>
        <v>17</v>
      </c>
      <c r="BR2" s="161">
        <f t="shared" si="16"/>
        <v>17</v>
      </c>
      <c r="BS2" s="161">
        <f t="shared" si="16"/>
        <v>17</v>
      </c>
      <c r="BT2" s="161">
        <f t="shared" ref="BT2:BW2" si="17">$BT$3</f>
        <v>18</v>
      </c>
      <c r="BU2" s="161">
        <f t="shared" si="17"/>
        <v>18</v>
      </c>
      <c r="BV2" s="161">
        <f t="shared" si="17"/>
        <v>18</v>
      </c>
      <c r="BW2" s="161">
        <f t="shared" si="17"/>
        <v>18</v>
      </c>
      <c r="BX2" s="149"/>
    </row>
    <row r="3" spans="1:76" x14ac:dyDescent="0.25">
      <c r="C3" s="38" t="s">
        <v>32</v>
      </c>
      <c r="D3" s="38">
        <v>1</v>
      </c>
      <c r="E3" s="39"/>
      <c r="F3" s="39"/>
      <c r="G3" s="40"/>
      <c r="H3" s="38">
        <v>2</v>
      </c>
      <c r="I3" s="39"/>
      <c r="J3" s="39"/>
      <c r="K3" s="40"/>
      <c r="L3" s="38">
        <v>3</v>
      </c>
      <c r="M3" s="39"/>
      <c r="N3" s="39"/>
      <c r="O3" s="40"/>
      <c r="P3" s="38">
        <v>4</v>
      </c>
      <c r="Q3" s="39"/>
      <c r="R3" s="39"/>
      <c r="S3" s="40"/>
      <c r="T3" s="38">
        <v>5</v>
      </c>
      <c r="U3" s="39"/>
      <c r="V3" s="39"/>
      <c r="W3" s="40"/>
      <c r="X3" s="38">
        <v>6</v>
      </c>
      <c r="Y3" s="39"/>
      <c r="Z3" s="39"/>
      <c r="AA3" s="40"/>
      <c r="AB3" s="38">
        <v>7</v>
      </c>
      <c r="AC3" s="39"/>
      <c r="AD3" s="39"/>
      <c r="AE3" s="40"/>
      <c r="AF3" s="38">
        <v>8</v>
      </c>
      <c r="AG3" s="39"/>
      <c r="AH3" s="39"/>
      <c r="AI3" s="40"/>
      <c r="AJ3" s="38">
        <v>9</v>
      </c>
      <c r="AK3" s="39"/>
      <c r="AL3" s="39"/>
      <c r="AM3" s="40"/>
      <c r="AN3" s="38">
        <v>10</v>
      </c>
      <c r="AO3" s="39"/>
      <c r="AP3" s="39"/>
      <c r="AQ3" s="40"/>
      <c r="AR3" s="38">
        <v>11</v>
      </c>
      <c r="AS3" s="39"/>
      <c r="AT3" s="39"/>
      <c r="AU3" s="40"/>
      <c r="AV3" s="38">
        <v>12</v>
      </c>
      <c r="AW3" s="39"/>
      <c r="AX3" s="39"/>
      <c r="AY3" s="40"/>
      <c r="AZ3" s="38">
        <v>13</v>
      </c>
      <c r="BA3" s="39"/>
      <c r="BB3" s="39"/>
      <c r="BC3" s="40"/>
      <c r="BD3" s="38">
        <v>14</v>
      </c>
      <c r="BE3" s="39"/>
      <c r="BF3" s="39"/>
      <c r="BG3" s="40"/>
      <c r="BH3" s="38">
        <v>15</v>
      </c>
      <c r="BI3" s="39"/>
      <c r="BJ3" s="39"/>
      <c r="BK3" s="40"/>
      <c r="BL3" s="38">
        <v>16</v>
      </c>
      <c r="BM3" s="39"/>
      <c r="BN3" s="39"/>
      <c r="BO3" s="40"/>
      <c r="BP3" s="38">
        <v>17</v>
      </c>
      <c r="BQ3" s="39"/>
      <c r="BR3" s="39"/>
      <c r="BS3" s="40"/>
      <c r="BT3" s="38">
        <v>18</v>
      </c>
      <c r="BU3" s="39"/>
      <c r="BV3" s="39"/>
      <c r="BW3" s="40"/>
      <c r="BX3" s="163" t="s">
        <v>33</v>
      </c>
    </row>
    <row r="4" spans="1:76" x14ac:dyDescent="0.25">
      <c r="C4" s="84">
        <f>Model!E9</f>
        <v>44561</v>
      </c>
      <c r="D4" s="84">
        <f>EOMONTH(C4+90,0)</f>
        <v>44651</v>
      </c>
      <c r="E4" s="84">
        <f t="shared" ref="E4:BK4" si="18">EOMONTH(D4+90,0)</f>
        <v>44742</v>
      </c>
      <c r="F4" s="84">
        <f t="shared" si="18"/>
        <v>44834</v>
      </c>
      <c r="G4" s="84">
        <f t="shared" si="18"/>
        <v>44926</v>
      </c>
      <c r="H4" s="84">
        <f t="shared" si="18"/>
        <v>45016</v>
      </c>
      <c r="I4" s="84">
        <f t="shared" si="18"/>
        <v>45107</v>
      </c>
      <c r="J4" s="84">
        <f t="shared" si="18"/>
        <v>45199</v>
      </c>
      <c r="K4" s="84">
        <f t="shared" si="18"/>
        <v>45291</v>
      </c>
      <c r="L4" s="84">
        <f t="shared" si="18"/>
        <v>45382</v>
      </c>
      <c r="M4" s="84">
        <f t="shared" si="18"/>
        <v>45473</v>
      </c>
      <c r="N4" s="84">
        <f t="shared" si="18"/>
        <v>45565</v>
      </c>
      <c r="O4" s="84">
        <f t="shared" si="18"/>
        <v>45657</v>
      </c>
      <c r="P4" s="84">
        <f t="shared" si="18"/>
        <v>45747</v>
      </c>
      <c r="Q4" s="84">
        <f t="shared" si="18"/>
        <v>45838</v>
      </c>
      <c r="R4" s="84">
        <f t="shared" si="18"/>
        <v>45930</v>
      </c>
      <c r="S4" s="84">
        <f t="shared" si="18"/>
        <v>46022</v>
      </c>
      <c r="T4" s="84">
        <f t="shared" si="18"/>
        <v>46112</v>
      </c>
      <c r="U4" s="84">
        <f t="shared" si="18"/>
        <v>46203</v>
      </c>
      <c r="V4" s="84">
        <f t="shared" si="18"/>
        <v>46295</v>
      </c>
      <c r="W4" s="84">
        <f t="shared" si="18"/>
        <v>46387</v>
      </c>
      <c r="X4" s="84">
        <f t="shared" si="18"/>
        <v>46477</v>
      </c>
      <c r="Y4" s="84">
        <f t="shared" si="18"/>
        <v>46568</v>
      </c>
      <c r="Z4" s="84">
        <f t="shared" si="18"/>
        <v>46660</v>
      </c>
      <c r="AA4" s="84">
        <f t="shared" si="18"/>
        <v>46752</v>
      </c>
      <c r="AB4" s="84">
        <f t="shared" si="18"/>
        <v>46843</v>
      </c>
      <c r="AC4" s="84">
        <f t="shared" si="18"/>
        <v>46934</v>
      </c>
      <c r="AD4" s="84">
        <f t="shared" si="18"/>
        <v>47026</v>
      </c>
      <c r="AE4" s="84">
        <f t="shared" si="18"/>
        <v>47118</v>
      </c>
      <c r="AF4" s="84">
        <f t="shared" si="18"/>
        <v>47208</v>
      </c>
      <c r="AG4" s="84">
        <f t="shared" si="18"/>
        <v>47299</v>
      </c>
      <c r="AH4" s="84">
        <f t="shared" si="18"/>
        <v>47391</v>
      </c>
      <c r="AI4" s="84">
        <f t="shared" si="18"/>
        <v>47483</v>
      </c>
      <c r="AJ4" s="84">
        <f t="shared" si="18"/>
        <v>47573</v>
      </c>
      <c r="AK4" s="84">
        <f t="shared" si="18"/>
        <v>47664</v>
      </c>
      <c r="AL4" s="84">
        <f t="shared" si="18"/>
        <v>47756</v>
      </c>
      <c r="AM4" s="84">
        <f t="shared" si="18"/>
        <v>47848</v>
      </c>
      <c r="AN4" s="84">
        <f t="shared" si="18"/>
        <v>47938</v>
      </c>
      <c r="AO4" s="84">
        <f t="shared" si="18"/>
        <v>48029</v>
      </c>
      <c r="AP4" s="84">
        <f t="shared" si="18"/>
        <v>48121</v>
      </c>
      <c r="AQ4" s="84">
        <f t="shared" si="18"/>
        <v>48213</v>
      </c>
      <c r="AR4" s="84">
        <f t="shared" si="18"/>
        <v>48304</v>
      </c>
      <c r="AS4" s="84">
        <f t="shared" si="18"/>
        <v>48395</v>
      </c>
      <c r="AT4" s="84">
        <f t="shared" si="18"/>
        <v>48487</v>
      </c>
      <c r="AU4" s="84">
        <f t="shared" si="18"/>
        <v>48579</v>
      </c>
      <c r="AV4" s="84">
        <f t="shared" si="18"/>
        <v>48669</v>
      </c>
      <c r="AW4" s="84">
        <f t="shared" si="18"/>
        <v>48760</v>
      </c>
      <c r="AX4" s="84">
        <f t="shared" si="18"/>
        <v>48852</v>
      </c>
      <c r="AY4" s="84">
        <f t="shared" si="18"/>
        <v>48944</v>
      </c>
      <c r="AZ4" s="84">
        <f t="shared" si="18"/>
        <v>49034</v>
      </c>
      <c r="BA4" s="84">
        <f t="shared" si="18"/>
        <v>49125</v>
      </c>
      <c r="BB4" s="84">
        <f t="shared" si="18"/>
        <v>49217</v>
      </c>
      <c r="BC4" s="84">
        <f t="shared" si="18"/>
        <v>49309</v>
      </c>
      <c r="BD4" s="84">
        <f t="shared" si="18"/>
        <v>49399</v>
      </c>
      <c r="BE4" s="84">
        <f t="shared" si="18"/>
        <v>49490</v>
      </c>
      <c r="BF4" s="84">
        <f t="shared" si="18"/>
        <v>49582</v>
      </c>
      <c r="BG4" s="84">
        <f t="shared" si="18"/>
        <v>49674</v>
      </c>
      <c r="BH4" s="84">
        <f t="shared" si="18"/>
        <v>49765</v>
      </c>
      <c r="BI4" s="84">
        <f t="shared" si="18"/>
        <v>49856</v>
      </c>
      <c r="BJ4" s="84">
        <f t="shared" si="18"/>
        <v>49948</v>
      </c>
      <c r="BK4" s="84">
        <f t="shared" si="18"/>
        <v>50040</v>
      </c>
      <c r="BL4" s="84">
        <f t="shared" ref="BL4" si="19">EOMONTH(BK4+90,0)</f>
        <v>50130</v>
      </c>
      <c r="BM4" s="84">
        <f t="shared" ref="BM4" si="20">EOMONTH(BL4+90,0)</f>
        <v>50221</v>
      </c>
      <c r="BN4" s="84">
        <f t="shared" ref="BN4" si="21">EOMONTH(BM4+90,0)</f>
        <v>50313</v>
      </c>
      <c r="BO4" s="84">
        <f t="shared" ref="BO4" si="22">EOMONTH(BN4+90,0)</f>
        <v>50405</v>
      </c>
      <c r="BP4" s="84">
        <f t="shared" ref="BP4" si="23">EOMONTH(BO4+90,0)</f>
        <v>50495</v>
      </c>
      <c r="BQ4" s="84">
        <f t="shared" ref="BQ4" si="24">EOMONTH(BP4+90,0)</f>
        <v>50586</v>
      </c>
      <c r="BR4" s="84">
        <f t="shared" ref="BR4" si="25">EOMONTH(BQ4+90,0)</f>
        <v>50678</v>
      </c>
      <c r="BS4" s="84">
        <f t="shared" ref="BS4" si="26">EOMONTH(BR4+90,0)</f>
        <v>50770</v>
      </c>
      <c r="BT4" s="84">
        <f t="shared" ref="BT4" si="27">EOMONTH(BS4+90,0)</f>
        <v>50860</v>
      </c>
      <c r="BU4" s="84">
        <f t="shared" ref="BU4" si="28">EOMONTH(BT4+90,0)</f>
        <v>50951</v>
      </c>
      <c r="BV4" s="84">
        <f t="shared" ref="BV4" si="29">EOMONTH(BU4+90,0)</f>
        <v>51043</v>
      </c>
      <c r="BW4" s="84">
        <f t="shared" ref="BW4" si="30">EOMONTH(BV4+90,0)</f>
        <v>51135</v>
      </c>
      <c r="BX4" s="157" t="s">
        <v>34</v>
      </c>
    </row>
    <row r="5" spans="1:76" x14ac:dyDescent="0.25">
      <c r="B5" t="s">
        <v>25</v>
      </c>
      <c r="C5" s="76">
        <v>0</v>
      </c>
      <c r="D5" s="76">
        <f>IF(Model!$E$38&lt;D2,0,IF(Model!$E$39&lt;D2,MAX(Model!$E$37,'Cash Flows'!C5-Model!$E$36),Model!$E$35))</f>
        <v>0.02</v>
      </c>
      <c r="E5" s="76">
        <f>IF(Model!$E$38&lt;E2,0,IF(Model!$E$39&lt;E2,MAX(Model!$E$37,'Cash Flows'!D5-Model!$E$36),Model!$E$35))</f>
        <v>0.02</v>
      </c>
      <c r="F5" s="76">
        <f>IF(Model!$E$38&lt;F2,0,IF(Model!$E$39&lt;F2,MAX(Model!$E$37,'Cash Flows'!E5-Model!$E$36),Model!$E$35))</f>
        <v>0.02</v>
      </c>
      <c r="G5" s="76">
        <f>IF(Model!$E$38&lt;G2,0,IF(Model!$E$39&lt;G2,MAX(Model!$E$37,'Cash Flows'!F5-Model!$E$36),Model!$E$35))</f>
        <v>0.02</v>
      </c>
      <c r="H5" s="76">
        <f>IF(Model!$E$38&lt;H2,0,IF(Model!$E$39&lt;H2,MAX(Model!$E$37,'Cash Flows'!G5-Model!$E$36),Model!$E$35))</f>
        <v>0.02</v>
      </c>
      <c r="I5" s="76">
        <f>IF(Model!$E$38&lt;I2,0,IF(Model!$E$39&lt;I2,MAX(Model!$E$37,'Cash Flows'!H5-Model!$E$36),Model!$E$35))</f>
        <v>0.02</v>
      </c>
      <c r="J5" s="76">
        <f>IF(Model!$E$38&lt;J2,0,IF(Model!$E$39&lt;J2,MAX(Model!$E$37,'Cash Flows'!I5-Model!$E$36),Model!$E$35))</f>
        <v>0.02</v>
      </c>
      <c r="K5" s="76">
        <f>IF(Model!$E$38&lt;K2,0,IF(Model!$E$39&lt;K2,MAX(Model!$E$37,'Cash Flows'!J5-Model!$E$36),Model!$E$35))</f>
        <v>0.02</v>
      </c>
      <c r="L5" s="76">
        <f>IF(Model!$E$38&lt;L2,0,IF(Model!$E$39&lt;L2,MAX(Model!$E$37,'Cash Flows'!K5-Model!$E$36),Model!$E$35))</f>
        <v>0.02</v>
      </c>
      <c r="M5" s="76">
        <f>IF(Model!$E$38&lt;M2,0,IF(Model!$E$39&lt;M2,MAX(Model!$E$37,'Cash Flows'!L5-Model!$E$36),Model!$E$35))</f>
        <v>0.02</v>
      </c>
      <c r="N5" s="76">
        <f>IF(Model!$E$38&lt;N2,0,IF(Model!$E$39&lt;N2,MAX(Model!$E$37,'Cash Flows'!M5-Model!$E$36),Model!$E$35))</f>
        <v>0.02</v>
      </c>
      <c r="O5" s="76">
        <f>IF(Model!$E$38&lt;O2,0,IF(Model!$E$39&lt;O2,MAX(Model!$E$37,'Cash Flows'!N5-Model!$E$36),Model!$E$35))</f>
        <v>0.02</v>
      </c>
      <c r="P5" s="76">
        <f>IF(Model!$E$38&lt;P2,0,IF(Model!$E$39&lt;P2,MAX(Model!$E$37,'Cash Flows'!O5-Model!$E$36),Model!$E$35))</f>
        <v>0.02</v>
      </c>
      <c r="Q5" s="76">
        <f>IF(Model!$E$38&lt;Q2,0,IF(Model!$E$39&lt;Q2,MAX(Model!$E$37,'Cash Flows'!P5-Model!$E$36),Model!$E$35))</f>
        <v>0.02</v>
      </c>
      <c r="R5" s="76">
        <f>IF(Model!$E$38&lt;R2,0,IF(Model!$E$39&lt;R2,MAX(Model!$E$37,'Cash Flows'!Q5-Model!$E$36),Model!$E$35))</f>
        <v>0.02</v>
      </c>
      <c r="S5" s="76">
        <f>IF(Model!$E$38&lt;S2,0,IF(Model!$E$39&lt;S2,MAX(Model!$E$37,'Cash Flows'!R5-Model!$E$36),Model!$E$35))</f>
        <v>0.02</v>
      </c>
      <c r="T5" s="76">
        <f>IF(Model!$E$38&lt;T2,0,IF(Model!$E$39&lt;T2,MAX(Model!$E$37,'Cash Flows'!S5-Model!$E$36),Model!$E$35))</f>
        <v>0.02</v>
      </c>
      <c r="U5" s="76">
        <f>IF(Model!$E$38&lt;U2,0,IF(Model!$E$39&lt;U2,MAX(Model!$E$37,'Cash Flows'!T5-Model!$E$36),Model!$E$35))</f>
        <v>0.02</v>
      </c>
      <c r="V5" s="76">
        <f>IF(Model!$E$38&lt;V2,0,IF(Model!$E$39&lt;V2,MAX(Model!$E$37,'Cash Flows'!U5-Model!$E$36),Model!$E$35))</f>
        <v>0.02</v>
      </c>
      <c r="W5" s="76">
        <f>IF(Model!$E$38&lt;W2,0,IF(Model!$E$39&lt;W2,MAX(Model!$E$37,'Cash Flows'!V5-Model!$E$36),Model!$E$35))</f>
        <v>0.02</v>
      </c>
      <c r="X5" s="76">
        <f>IF(Model!$E$38&lt;X2,0,IF(Model!$E$39&lt;X2,MAX(Model!$E$37,'Cash Flows'!W5-Model!$E$36),Model!$E$35))</f>
        <v>1.8749999999999999E-2</v>
      </c>
      <c r="Y5" s="76">
        <f>IF(Model!$E$38&lt;Y2,0,IF(Model!$E$39&lt;Y2,MAX(Model!$E$37,'Cash Flows'!X5-Model!$E$36),Model!$E$35))</f>
        <v>1.7499999999999998E-2</v>
      </c>
      <c r="Z5" s="76">
        <f>IF(Model!$E$38&lt;Z2,0,IF(Model!$E$39&lt;Z2,MAX(Model!$E$37,'Cash Flows'!Y5-Model!$E$36),Model!$E$35))</f>
        <v>1.6249999999999997E-2</v>
      </c>
      <c r="AA5" s="76">
        <f>IF(Model!$E$38&lt;AA2,0,IF(Model!$E$39&lt;AA2,MAX(Model!$E$37,'Cash Flows'!Z5-Model!$E$36),Model!$E$35))</f>
        <v>1.4999999999999998E-2</v>
      </c>
      <c r="AB5" s="76">
        <f>IF(Model!$E$38&lt;AB2,0,IF(Model!$E$39&lt;AB2,MAX(Model!$E$37,'Cash Flows'!AA5-Model!$E$36),Model!$E$35))</f>
        <v>1.3749999999999998E-2</v>
      </c>
      <c r="AC5" s="76">
        <f>IF(Model!$E$38&lt;AC2,0,IF(Model!$E$39&lt;AC2,MAX(Model!$E$37,'Cash Flows'!AB5-Model!$E$36),Model!$E$35))</f>
        <v>1.2499999999999999E-2</v>
      </c>
      <c r="AD5" s="76">
        <f>IF(Model!$E$38&lt;AD2,0,IF(Model!$E$39&lt;AD2,MAX(Model!$E$37,'Cash Flows'!AC5-Model!$E$36),Model!$E$35))</f>
        <v>1.125E-2</v>
      </c>
      <c r="AE5" s="76">
        <f>IF(Model!$E$38&lt;AE2,0,IF(Model!$E$39&lt;AE2,MAX(Model!$E$37,'Cash Flows'!AD5-Model!$E$36),Model!$E$35))</f>
        <v>0.01</v>
      </c>
      <c r="AF5" s="76">
        <f>IF(Model!$E$38&lt;AF2,0,IF(Model!$E$39&lt;AF2,MAX(Model!$E$37,'Cash Flows'!AE5-Model!$E$36),Model!$E$35))</f>
        <v>0.01</v>
      </c>
      <c r="AG5" s="76">
        <f>IF(Model!$E$38&lt;AG2,0,IF(Model!$E$39&lt;AG2,MAX(Model!$E$37,'Cash Flows'!AF5-Model!$E$36),Model!$E$35))</f>
        <v>0.01</v>
      </c>
      <c r="AH5" s="76">
        <f>IF(Model!$E$38&lt;AH2,0,IF(Model!$E$39&lt;AH2,MAX(Model!$E$37,'Cash Flows'!AG5-Model!$E$36),Model!$E$35))</f>
        <v>0.01</v>
      </c>
      <c r="AI5" s="76">
        <f>IF(Model!$E$38&lt;AI2,0,IF(Model!$E$39&lt;AI2,MAX(Model!$E$37,'Cash Flows'!AH5-Model!$E$36),Model!$E$35))</f>
        <v>0.01</v>
      </c>
      <c r="AJ5" s="76">
        <f>IF(Model!$E$38&lt;AJ2,0,IF(Model!$E$39&lt;AJ2,MAX(Model!$E$37,'Cash Flows'!AI5-Model!$E$36),Model!$E$35))</f>
        <v>0.01</v>
      </c>
      <c r="AK5" s="76">
        <f>IF(Model!$E$38&lt;AK2,0,IF(Model!$E$39&lt;AK2,MAX(Model!$E$37,'Cash Flows'!AJ5-Model!$E$36),Model!$E$35))</f>
        <v>0.01</v>
      </c>
      <c r="AL5" s="76">
        <f>IF(Model!$E$38&lt;AL2,0,IF(Model!$E$39&lt;AL2,MAX(Model!$E$37,'Cash Flows'!AK5-Model!$E$36),Model!$E$35))</f>
        <v>0.01</v>
      </c>
      <c r="AM5" s="76">
        <f>IF(Model!$E$38&lt;AM2,0,IF(Model!$E$39&lt;AM2,MAX(Model!$E$37,'Cash Flows'!AL5-Model!$E$36),Model!$E$35))</f>
        <v>0.01</v>
      </c>
      <c r="AN5" s="76">
        <f>IF(Model!$E$38&lt;AN2,0,IF(Model!$E$39&lt;AN2,MAX(Model!$E$37,'Cash Flows'!AM5-Model!$E$36),Model!$E$35))</f>
        <v>0.01</v>
      </c>
      <c r="AO5" s="76">
        <f>IF(Model!$E$38&lt;AO2,0,IF(Model!$E$39&lt;AO2,MAX(Model!$E$37,'Cash Flows'!AN5-Model!$E$36),Model!$E$35))</f>
        <v>0.01</v>
      </c>
      <c r="AP5" s="76">
        <f>IF(Model!$E$38&lt;AP2,0,IF(Model!$E$39&lt;AP2,MAX(Model!$E$37,'Cash Flows'!AO5-Model!$E$36),Model!$E$35))</f>
        <v>0.01</v>
      </c>
      <c r="AQ5" s="76">
        <f>IF(Model!$E$38&lt;AQ2,0,IF(Model!$E$39&lt;AQ2,MAX(Model!$E$37,'Cash Flows'!AP5-Model!$E$36),Model!$E$35))</f>
        <v>0.01</v>
      </c>
      <c r="AR5" s="76">
        <f>IF(Model!$E$38&lt;AR2,0,IF(Model!$E$39&lt;AR2,MAX(Model!$E$37,'Cash Flows'!AQ5-Model!$E$36),Model!$E$35))</f>
        <v>0</v>
      </c>
      <c r="AS5" s="76">
        <f>IF(Model!$E$38&lt;AS2,0,IF(Model!$E$39&lt;AS2,MAX(Model!$E$37,'Cash Flows'!AR5-Model!$E$36),Model!$E$35))</f>
        <v>0</v>
      </c>
      <c r="AT5" s="76">
        <f>IF(Model!$E$38&lt;AT2,0,IF(Model!$E$39&lt;AT2,MAX(Model!$E$37,'Cash Flows'!AS5-Model!$E$36),Model!$E$35))</f>
        <v>0</v>
      </c>
      <c r="AU5" s="76">
        <f>IF(Model!$E$38&lt;AU2,0,IF(Model!$E$39&lt;AU2,MAX(Model!$E$37,'Cash Flows'!AT5-Model!$E$36),Model!$E$35))</f>
        <v>0</v>
      </c>
      <c r="AV5" s="76">
        <f>IF(Model!$E$38&lt;AV2,0,IF(Model!$E$39&lt;AV2,MAX(Model!$E$37,'Cash Flows'!AU5-Model!$E$36),Model!$E$35))</f>
        <v>0</v>
      </c>
      <c r="AW5" s="76">
        <f>IF(Model!$E$38&lt;AW2,0,IF(Model!$E$39&lt;AW2,MAX(Model!$E$37,'Cash Flows'!AV5-Model!$E$36),Model!$E$35))</f>
        <v>0</v>
      </c>
      <c r="AX5" s="76">
        <f>IF(Model!$E$38&lt;AX2,0,IF(Model!$E$39&lt;AX2,MAX(Model!$E$37,'Cash Flows'!AW5-Model!$E$36),Model!$E$35))</f>
        <v>0</v>
      </c>
      <c r="AY5" s="76">
        <f>IF(Model!$E$38&lt;AY2,0,IF(Model!$E$39&lt;AY2,MAX(Model!$E$37,'Cash Flows'!AX5-Model!$E$36),Model!$E$35))</f>
        <v>0</v>
      </c>
      <c r="AZ5" s="76">
        <f>IF(Model!$E$38&lt;AZ2,0,IF(Model!$E$39&lt;AZ2,MAX(Model!$E$37,'Cash Flows'!AY5-Model!$E$36),Model!$E$35))</f>
        <v>0</v>
      </c>
      <c r="BA5" s="76">
        <f>IF(Model!$E$38&lt;BA2,0,IF(Model!$E$39&lt;BA2,MAX(Model!$E$37,'Cash Flows'!AZ5-Model!$E$36),Model!$E$35))</f>
        <v>0</v>
      </c>
      <c r="BB5" s="76">
        <f>IF(Model!$E$38&lt;BB2,0,IF(Model!$E$39&lt;BB2,MAX(Model!$E$37,'Cash Flows'!BA5-Model!$E$36),Model!$E$35))</f>
        <v>0</v>
      </c>
      <c r="BC5" s="76">
        <f>IF(Model!$E$38&lt;BC2,0,IF(Model!$E$39&lt;BC2,MAX(Model!$E$37,'Cash Flows'!BB5-Model!$E$36),Model!$E$35))</f>
        <v>0</v>
      </c>
      <c r="BD5" s="76">
        <f>IF(Model!$E$38&lt;BD2,0,IF(Model!$E$39&lt;BD2,MAX(Model!$E$37,'Cash Flows'!BC5-Model!$E$36),Model!$E$35))</f>
        <v>0</v>
      </c>
      <c r="BE5" s="76">
        <f>IF(Model!$E$38&lt;BE2,0,IF(Model!$E$39&lt;BE2,MAX(Model!$E$37,'Cash Flows'!BD5-Model!$E$36),Model!$E$35))</f>
        <v>0</v>
      </c>
      <c r="BF5" s="76">
        <f>IF(Model!$E$38&lt;BF2,0,IF(Model!$E$39&lt;BF2,MAX(Model!$E$37,'Cash Flows'!BE5-Model!$E$36),Model!$E$35))</f>
        <v>0</v>
      </c>
      <c r="BG5" s="76">
        <f>IF(Model!$E$38&lt;BG2,0,IF(Model!$E$39&lt;BG2,MAX(Model!$E$37,'Cash Flows'!BF5-Model!$E$36),Model!$E$35))</f>
        <v>0</v>
      </c>
      <c r="BH5" s="76">
        <f>IF(Model!$E$38&lt;BH2,0,IF(Model!$E$39&lt;BH2,MAX(Model!$E$37,'Cash Flows'!BG5-Model!$E$36),Model!$E$35))</f>
        <v>0</v>
      </c>
      <c r="BI5" s="76">
        <f>IF(Model!$E$38&lt;BI2,0,IF(Model!$E$39&lt;BI2,MAX(Model!$E$37,'Cash Flows'!BH5-Model!$E$36),Model!$E$35))</f>
        <v>0</v>
      </c>
      <c r="BJ5" s="76">
        <f>IF(Model!$E$38&lt;BJ2,0,IF(Model!$E$39&lt;BJ2,MAX(Model!$E$37,'Cash Flows'!BI5-Model!$E$36),Model!$E$35))</f>
        <v>0</v>
      </c>
      <c r="BK5" s="76">
        <f>IF(Model!$E$38&lt;BK2,0,IF(Model!$E$39&lt;BK2,MAX(Model!$E$37,'Cash Flows'!BJ5-Model!$E$36),Model!$E$35))</f>
        <v>0</v>
      </c>
      <c r="BL5" s="76">
        <f>IF(Model!$E$38&lt;BL2,0,IF(Model!$E$39&lt;BL2,MAX(Model!$E$37,'Cash Flows'!BK5-Model!$E$36),Model!$E$35))</f>
        <v>0</v>
      </c>
      <c r="BM5" s="76">
        <f>IF(Model!$E$38&lt;BM2,0,IF(Model!$E$39&lt;BM2,MAX(Model!$E$37,'Cash Flows'!BL5-Model!$E$36),Model!$E$35))</f>
        <v>0</v>
      </c>
      <c r="BN5" s="76">
        <f>IF(Model!$E$38&lt;BN2,0,IF(Model!$E$39&lt;BN2,MAX(Model!$E$37,'Cash Flows'!BM5-Model!$E$36),Model!$E$35))</f>
        <v>0</v>
      </c>
      <c r="BO5" s="76">
        <f>IF(Model!$E$38&lt;BO2,0,IF(Model!$E$39&lt;BO2,MAX(Model!$E$37,'Cash Flows'!BN5-Model!$E$36),Model!$E$35))</f>
        <v>0</v>
      </c>
      <c r="BP5" s="76">
        <f>IF(Model!$E$38&lt;BP2,0,IF(Model!$E$39&lt;BP2,MAX(Model!$E$37,'Cash Flows'!BO5-Model!$E$36),Model!$E$35))</f>
        <v>0</v>
      </c>
      <c r="BQ5" s="76">
        <f>IF(Model!$E$38&lt;BQ2,0,IF(Model!$E$39&lt;BQ2,MAX(Model!$E$37,'Cash Flows'!BP5-Model!$E$36),Model!$E$35))</f>
        <v>0</v>
      </c>
      <c r="BR5" s="76">
        <f>IF(Model!$E$38&lt;BR2,0,IF(Model!$E$39&lt;BR2,MAX(Model!$E$37,'Cash Flows'!BQ5-Model!$E$36),Model!$E$35))</f>
        <v>0</v>
      </c>
      <c r="BS5" s="76">
        <f>IF(Model!$E$38&lt;BS2,0,IF(Model!$E$39&lt;BS2,MAX(Model!$E$37,'Cash Flows'!BR5-Model!$E$36),Model!$E$35))</f>
        <v>0</v>
      </c>
      <c r="BT5" s="76">
        <f>IF(Model!$E$38&lt;BT2,0,IF(Model!$E$39&lt;BT2,MAX(Model!$E$37,'Cash Flows'!BS5-Model!$E$36),Model!$E$35))</f>
        <v>0</v>
      </c>
      <c r="BU5" s="76">
        <f>IF(Model!$E$38&lt;BU2,0,IF(Model!$E$39&lt;BU2,MAX(Model!$E$37,'Cash Flows'!BT5-Model!$E$36),Model!$E$35))</f>
        <v>0</v>
      </c>
      <c r="BV5" s="76">
        <f>IF(Model!$E$38&lt;BV2,0,IF(Model!$E$39&lt;BV2,MAX(Model!$E$37,'Cash Flows'!BU5-Model!$E$36),Model!$E$35))</f>
        <v>0</v>
      </c>
      <c r="BW5" s="76">
        <f>IF(Model!$E$38&lt;BW2,0,IF(Model!$E$39&lt;BW2,MAX(Model!$E$37,'Cash Flows'!BV5-Model!$E$36),Model!$E$35))</f>
        <v>0</v>
      </c>
      <c r="BX5" s="150"/>
    </row>
    <row r="6" spans="1:76" x14ac:dyDescent="0.25">
      <c r="B6" t="s">
        <v>26</v>
      </c>
      <c r="C6" s="77">
        <f>-(C5/4)*Model!$E$10</f>
        <v>0</v>
      </c>
      <c r="D6" s="77">
        <f>-(D5/4)*Model!$E$10</f>
        <v>-500000</v>
      </c>
      <c r="E6" s="77">
        <f>-(E5/4)*Model!$E$10</f>
        <v>-500000</v>
      </c>
      <c r="F6" s="77">
        <f>-(F5/4)*Model!$E$10</f>
        <v>-500000</v>
      </c>
      <c r="G6" s="77">
        <f>-(G5/4)*Model!$E$10</f>
        <v>-500000</v>
      </c>
      <c r="H6" s="77">
        <f>-(H5/4)*Model!$E$10</f>
        <v>-500000</v>
      </c>
      <c r="I6" s="77">
        <f>-(I5/4)*Model!$E$10</f>
        <v>-500000</v>
      </c>
      <c r="J6" s="77">
        <f>-(J5/4)*Model!$E$10</f>
        <v>-500000</v>
      </c>
      <c r="K6" s="77">
        <f>-(K5/4)*Model!$E$10</f>
        <v>-500000</v>
      </c>
      <c r="L6" s="77">
        <f>-(L5/4)*Model!$E$10</f>
        <v>-500000</v>
      </c>
      <c r="M6" s="77">
        <f>-(M5/4)*Model!$E$10</f>
        <v>-500000</v>
      </c>
      <c r="N6" s="77">
        <f>-(N5/4)*Model!$E$10</f>
        <v>-500000</v>
      </c>
      <c r="O6" s="77">
        <f>-(O5/4)*Model!$E$10</f>
        <v>-500000</v>
      </c>
      <c r="P6" s="77">
        <f>-(P5/4)*Model!$E$10</f>
        <v>-500000</v>
      </c>
      <c r="Q6" s="77">
        <f>-(Q5/4)*Model!$E$10</f>
        <v>-500000</v>
      </c>
      <c r="R6" s="77">
        <f>-(R5/4)*Model!$E$10</f>
        <v>-500000</v>
      </c>
      <c r="S6" s="77">
        <f>-(S5/4)*Model!$E$10</f>
        <v>-500000</v>
      </c>
      <c r="T6" s="77">
        <f>-(T5/4)*Model!$E$10</f>
        <v>-500000</v>
      </c>
      <c r="U6" s="77">
        <f>-(U5/4)*Model!$E$10</f>
        <v>-500000</v>
      </c>
      <c r="V6" s="77">
        <f>-(V5/4)*Model!$E$10</f>
        <v>-500000</v>
      </c>
      <c r="W6" s="77">
        <f>-(W5/4)*Model!$E$10</f>
        <v>-500000</v>
      </c>
      <c r="X6" s="77">
        <f>-(X5/4)*Model!$E$10</f>
        <v>-468750</v>
      </c>
      <c r="Y6" s="77">
        <f>-(Y5/4)*Model!$E$10</f>
        <v>-437499.99999999994</v>
      </c>
      <c r="Z6" s="77">
        <f>-(Z5/4)*Model!$E$10</f>
        <v>-406249.99999999994</v>
      </c>
      <c r="AA6" s="77">
        <f>-(AA5/4)*Model!$E$10</f>
        <v>-374999.99999999994</v>
      </c>
      <c r="AB6" s="77">
        <f>-(AB5/4)*Model!$E$10</f>
        <v>-343749.99999999994</v>
      </c>
      <c r="AC6" s="77">
        <f>-(AC5/4)*Model!$E$10</f>
        <v>-312500</v>
      </c>
      <c r="AD6" s="77">
        <f>-(AD5/4)*Model!$E$10</f>
        <v>-281250</v>
      </c>
      <c r="AE6" s="77">
        <f>-(AE5/4)*Model!$E$10</f>
        <v>-250000</v>
      </c>
      <c r="AF6" s="77">
        <f>-(AF5/4)*Model!$E$10</f>
        <v>-250000</v>
      </c>
      <c r="AG6" s="77">
        <f>-(AG5/4)*Model!$E$10</f>
        <v>-250000</v>
      </c>
      <c r="AH6" s="77">
        <f>-(AH5/4)*Model!$E$10</f>
        <v>-250000</v>
      </c>
      <c r="AI6" s="77">
        <f>-(AI5/4)*Model!$E$10</f>
        <v>-250000</v>
      </c>
      <c r="AJ6" s="77">
        <f>-(AJ5/4)*Model!$E$10</f>
        <v>-250000</v>
      </c>
      <c r="AK6" s="77">
        <f>-(AK5/4)*Model!$E$10</f>
        <v>-250000</v>
      </c>
      <c r="AL6" s="77">
        <f>-(AL5/4)*Model!$E$10</f>
        <v>-250000</v>
      </c>
      <c r="AM6" s="77">
        <f>-(AM5/4)*Model!$E$10</f>
        <v>-250000</v>
      </c>
      <c r="AN6" s="77">
        <f>-(AN5/4)*Model!$E$10</f>
        <v>-250000</v>
      </c>
      <c r="AO6" s="77">
        <f>-(AO5/4)*Model!$E$10</f>
        <v>-250000</v>
      </c>
      <c r="AP6" s="77">
        <f>-(AP5/4)*Model!$E$10</f>
        <v>-250000</v>
      </c>
      <c r="AQ6" s="77">
        <f>-(AQ5/4)*Model!$E$10</f>
        <v>-250000</v>
      </c>
      <c r="AR6" s="77">
        <f>-(AR5/4)*Model!$E$10</f>
        <v>0</v>
      </c>
      <c r="AS6" s="77">
        <f>-(AS5/4)*Model!$E$10</f>
        <v>0</v>
      </c>
      <c r="AT6" s="77">
        <f>-(AT5/4)*Model!$E$10</f>
        <v>0</v>
      </c>
      <c r="AU6" s="77">
        <f>-(AU5/4)*Model!$E$10</f>
        <v>0</v>
      </c>
      <c r="AV6" s="77">
        <f>-(AV5/4)*Model!$E$10</f>
        <v>0</v>
      </c>
      <c r="AW6" s="77">
        <f>-(AW5/4)*Model!$E$10</f>
        <v>0</v>
      </c>
      <c r="AX6" s="77">
        <f>-(AX5/4)*Model!$E$10</f>
        <v>0</v>
      </c>
      <c r="AY6" s="77">
        <f>-(AY5/4)*Model!$E$10</f>
        <v>0</v>
      </c>
      <c r="AZ6" s="77">
        <f>-(AZ5/4)*Model!$E$10</f>
        <v>0</v>
      </c>
      <c r="BA6" s="77">
        <f>-(BA5/4)*Model!$E$10</f>
        <v>0</v>
      </c>
      <c r="BB6" s="77">
        <f>-(BB5/4)*Model!$E$10</f>
        <v>0</v>
      </c>
      <c r="BC6" s="77">
        <f>-(BC5/4)*Model!$E$10</f>
        <v>0</v>
      </c>
      <c r="BD6" s="77">
        <f>-(BD5/4)*Model!$E$10</f>
        <v>0</v>
      </c>
      <c r="BE6" s="77">
        <f>-(BE5/4)*Model!$E$10</f>
        <v>0</v>
      </c>
      <c r="BF6" s="77">
        <f>-(BF5/4)*Model!$E$10</f>
        <v>0</v>
      </c>
      <c r="BG6" s="77">
        <f>-(BG5/4)*Model!$E$10</f>
        <v>0</v>
      </c>
      <c r="BH6" s="77">
        <f>-(BH5/4)*Model!$E$10</f>
        <v>0</v>
      </c>
      <c r="BI6" s="77">
        <f>-(BI5/4)*Model!$E$10</f>
        <v>0</v>
      </c>
      <c r="BJ6" s="77">
        <f>-(BJ5/4)*Model!$E$10</f>
        <v>0</v>
      </c>
      <c r="BK6" s="77">
        <f>-(BK5/4)*Model!$E$10</f>
        <v>0</v>
      </c>
      <c r="BL6" s="77">
        <f>-(BL5/4)*Model!$E$10</f>
        <v>0</v>
      </c>
      <c r="BM6" s="77">
        <f>-(BM5/4)*Model!$E$10</f>
        <v>0</v>
      </c>
      <c r="BN6" s="77">
        <f>-(BN5/4)*Model!$E$10</f>
        <v>0</v>
      </c>
      <c r="BO6" s="77">
        <f>-(BO5/4)*Model!$E$10</f>
        <v>0</v>
      </c>
      <c r="BP6" s="77">
        <f>-(BP5/4)*Model!$E$10</f>
        <v>0</v>
      </c>
      <c r="BQ6" s="77">
        <f>-(BQ5/4)*Model!$E$10</f>
        <v>0</v>
      </c>
      <c r="BR6" s="77">
        <f>-(BR5/4)*Model!$E$10</f>
        <v>0</v>
      </c>
      <c r="BS6" s="77">
        <f>-(BS5/4)*Model!$E$10</f>
        <v>0</v>
      </c>
      <c r="BT6" s="77">
        <f>-(BT5/4)*Model!$E$10</f>
        <v>0</v>
      </c>
      <c r="BU6" s="77">
        <f>-(BU5/4)*Model!$E$10</f>
        <v>0</v>
      </c>
      <c r="BV6" s="77">
        <f>-(BV5/4)*Model!$E$10</f>
        <v>0</v>
      </c>
      <c r="BW6" s="77">
        <f>-(BW5/4)*Model!$E$10</f>
        <v>0</v>
      </c>
      <c r="BX6" s="151">
        <f>SUM(C6:BW6)</f>
        <v>-15875000</v>
      </c>
    </row>
    <row r="7" spans="1:76" s="138" customFormat="1" x14ac:dyDescent="0.25">
      <c r="A7" s="2"/>
      <c r="B7" s="138" t="s">
        <v>135</v>
      </c>
      <c r="C7" s="151">
        <v>0</v>
      </c>
      <c r="D7" s="151">
        <f>IF(D2&lt;=Model!$E$38,-(Model!$E$40*Model!$E$10)/4,0)</f>
        <v>-25000</v>
      </c>
      <c r="E7" s="151">
        <f>IF(E2&lt;=Model!$E$38,-(Model!$E$40*Model!$E$10)/4,0)</f>
        <v>-25000</v>
      </c>
      <c r="F7" s="151">
        <f>IF(F2&lt;=Model!$E$38,-(Model!$E$40*Model!$E$10)/4,0)</f>
        <v>-25000</v>
      </c>
      <c r="G7" s="151">
        <f>IF(G2&lt;=Model!$E$38,-(Model!$E$40*Model!$E$10)/4,0)</f>
        <v>-25000</v>
      </c>
      <c r="H7" s="151">
        <f>IF(H2&lt;=Model!$E$38,-(Model!$E$40*Model!$E$10)/4,0)</f>
        <v>-25000</v>
      </c>
      <c r="I7" s="151">
        <f>IF(I2&lt;=Model!$E$38,-(Model!$E$40*Model!$E$10)/4,0)</f>
        <v>-25000</v>
      </c>
      <c r="J7" s="151">
        <f>IF(J2&lt;=Model!$E$38,-(Model!$E$40*Model!$E$10)/4,0)</f>
        <v>-25000</v>
      </c>
      <c r="K7" s="151">
        <f>IF(K2&lt;=Model!$E$38,-(Model!$E$40*Model!$E$10)/4,0)</f>
        <v>-25000</v>
      </c>
      <c r="L7" s="151">
        <f>IF(L2&lt;=Model!$E$38,-(Model!$E$40*Model!$E$10)/4,0)</f>
        <v>-25000</v>
      </c>
      <c r="M7" s="151">
        <f>IF(M2&lt;=Model!$E$38,-(Model!$E$40*Model!$E$10)/4,0)</f>
        <v>-25000</v>
      </c>
      <c r="N7" s="151">
        <f>IF(N2&lt;=Model!$E$38,-(Model!$E$40*Model!$E$10)/4,0)</f>
        <v>-25000</v>
      </c>
      <c r="O7" s="151">
        <f>IF(O2&lt;=Model!$E$38,-(Model!$E$40*Model!$E$10)/4,0)</f>
        <v>-25000</v>
      </c>
      <c r="P7" s="151">
        <f>IF(P2&lt;=Model!$E$38,-(Model!$E$40*Model!$E$10)/4,0)</f>
        <v>-25000</v>
      </c>
      <c r="Q7" s="151">
        <f>IF(Q2&lt;=Model!$E$38,-(Model!$E$40*Model!$E$10)/4,0)</f>
        <v>-25000</v>
      </c>
      <c r="R7" s="151">
        <f>IF(R2&lt;=Model!$E$38,-(Model!$E$40*Model!$E$10)/4,0)</f>
        <v>-25000</v>
      </c>
      <c r="S7" s="151">
        <f>IF(S2&lt;=Model!$E$38,-(Model!$E$40*Model!$E$10)/4,0)</f>
        <v>-25000</v>
      </c>
      <c r="T7" s="151">
        <f>IF(T2&lt;=Model!$E$38,-(Model!$E$40*Model!$E$10)/4,0)</f>
        <v>-25000</v>
      </c>
      <c r="U7" s="151">
        <f>IF(U2&lt;=Model!$E$38,-(Model!$E$40*Model!$E$10)/4,0)</f>
        <v>-25000</v>
      </c>
      <c r="V7" s="151">
        <f>IF(V2&lt;=Model!$E$38,-(Model!$E$40*Model!$E$10)/4,0)</f>
        <v>-25000</v>
      </c>
      <c r="W7" s="151">
        <f>IF(W2&lt;=Model!$E$38,-(Model!$E$40*Model!$E$10)/4,0)</f>
        <v>-25000</v>
      </c>
      <c r="X7" s="151">
        <f>IF(X2&lt;=Model!$E$38,-(Model!$E$40*Model!$E$10)/4,0)</f>
        <v>-25000</v>
      </c>
      <c r="Y7" s="151">
        <f>IF(Y2&lt;=Model!$E$38,-(Model!$E$40*Model!$E$10)/4,0)</f>
        <v>-25000</v>
      </c>
      <c r="Z7" s="151">
        <f>IF(Z2&lt;=Model!$E$38,-(Model!$E$40*Model!$E$10)/4,0)</f>
        <v>-25000</v>
      </c>
      <c r="AA7" s="151">
        <f>IF(AA2&lt;=Model!$E$38,-(Model!$E$40*Model!$E$10)/4,0)</f>
        <v>-25000</v>
      </c>
      <c r="AB7" s="151">
        <f>IF(AB2&lt;=Model!$E$38,-(Model!$E$40*Model!$E$10)/4,0)</f>
        <v>-25000</v>
      </c>
      <c r="AC7" s="151">
        <f>IF(AC2&lt;=Model!$E$38,-(Model!$E$40*Model!$E$10)/4,0)</f>
        <v>-25000</v>
      </c>
      <c r="AD7" s="151">
        <f>IF(AD2&lt;=Model!$E$38,-(Model!$E$40*Model!$E$10)/4,0)</f>
        <v>-25000</v>
      </c>
      <c r="AE7" s="151">
        <f>IF(AE2&lt;=Model!$E$38,-(Model!$E$40*Model!$E$10)/4,0)</f>
        <v>-25000</v>
      </c>
      <c r="AF7" s="151">
        <f>IF(AF2&lt;=Model!$E$38,-(Model!$E$40*Model!$E$10)/4,0)</f>
        <v>-25000</v>
      </c>
      <c r="AG7" s="151">
        <f>IF(AG2&lt;=Model!$E$38,-(Model!$E$40*Model!$E$10)/4,0)</f>
        <v>-25000</v>
      </c>
      <c r="AH7" s="151">
        <f>IF(AH2&lt;=Model!$E$38,-(Model!$E$40*Model!$E$10)/4,0)</f>
        <v>-25000</v>
      </c>
      <c r="AI7" s="151">
        <f>IF(AI2&lt;=Model!$E$38,-(Model!$E$40*Model!$E$10)/4,0)</f>
        <v>-25000</v>
      </c>
      <c r="AJ7" s="151">
        <f>IF(AJ2&lt;=Model!$E$38,-(Model!$E$40*Model!$E$10)/4,0)</f>
        <v>-25000</v>
      </c>
      <c r="AK7" s="151">
        <f>IF(AK2&lt;=Model!$E$38,-(Model!$E$40*Model!$E$10)/4,0)</f>
        <v>-25000</v>
      </c>
      <c r="AL7" s="151">
        <f>IF(AL2&lt;=Model!$E$38,-(Model!$E$40*Model!$E$10)/4,0)</f>
        <v>-25000</v>
      </c>
      <c r="AM7" s="151">
        <f>IF(AM2&lt;=Model!$E$38,-(Model!$E$40*Model!$E$10)/4,0)</f>
        <v>-25000</v>
      </c>
      <c r="AN7" s="151">
        <f>IF(AN2&lt;=Model!$E$38,-(Model!$E$40*Model!$E$10)/4,0)</f>
        <v>-25000</v>
      </c>
      <c r="AO7" s="151">
        <f>IF(AO2&lt;=Model!$E$38,-(Model!$E$40*Model!$E$10)/4,0)</f>
        <v>-25000</v>
      </c>
      <c r="AP7" s="151">
        <f>IF(AP2&lt;=Model!$E$38,-(Model!$E$40*Model!$E$10)/4,0)</f>
        <v>-25000</v>
      </c>
      <c r="AQ7" s="151">
        <f>IF(AQ2&lt;=Model!$E$38,-(Model!$E$40*Model!$E$10)/4,0)</f>
        <v>-25000</v>
      </c>
      <c r="AR7" s="151">
        <f>IF(AR2&lt;=Model!$E$38,-(Model!$E$40*Model!$E$10)/4,0)</f>
        <v>0</v>
      </c>
      <c r="AS7" s="151">
        <f>IF(AS2&lt;=Model!$E$38,-(Model!$E$40*Model!$E$10)/4,0)</f>
        <v>0</v>
      </c>
      <c r="AT7" s="151">
        <f>IF(AT2&lt;=Model!$E$38,-(Model!$E$40*Model!$E$10)/4,0)</f>
        <v>0</v>
      </c>
      <c r="AU7" s="151">
        <f>IF(AU2&lt;=Model!$E$38,-(Model!$E$40*Model!$E$10)/4,0)</f>
        <v>0</v>
      </c>
      <c r="AV7" s="151">
        <f>IF(AV2&lt;=Model!$E$38,-(Model!$E$40*Model!$E$10)/4,0)</f>
        <v>0</v>
      </c>
      <c r="AW7" s="151">
        <f>IF(AW2&lt;=Model!$E$38,-(Model!$E$40*Model!$E$10)/4,0)</f>
        <v>0</v>
      </c>
      <c r="AX7" s="151">
        <f>IF(AX2&lt;=Model!$E$38,-(Model!$E$40*Model!$E$10)/4,0)</f>
        <v>0</v>
      </c>
      <c r="AY7" s="151">
        <f>IF(AY2&lt;=Model!$E$38,-(Model!$E$40*Model!$E$10)/4,0)</f>
        <v>0</v>
      </c>
      <c r="AZ7" s="151">
        <f>IF(AZ2&lt;=Model!$E$38,-(Model!$E$40*Model!$E$10)/4,0)</f>
        <v>0</v>
      </c>
      <c r="BA7" s="151">
        <f>IF(BA2&lt;=Model!$E$38,-(Model!$E$40*Model!$E$10)/4,0)</f>
        <v>0</v>
      </c>
      <c r="BB7" s="151">
        <f>IF(BB2&lt;=Model!$E$38,-(Model!$E$40*Model!$E$10)/4,0)</f>
        <v>0</v>
      </c>
      <c r="BC7" s="151">
        <f>IF(BC2&lt;=Model!$E$38,-(Model!$E$40*Model!$E$10)/4,0)</f>
        <v>0</v>
      </c>
      <c r="BD7" s="151">
        <f>IF(BD2&lt;=Model!$E$38,-(Model!$E$40*Model!$E$10)/4,0)</f>
        <v>0</v>
      </c>
      <c r="BE7" s="151">
        <f>IF(BE2&lt;=Model!$E$38,-(Model!$E$40*Model!$E$10)/4,0)</f>
        <v>0</v>
      </c>
      <c r="BF7" s="151">
        <f>IF(BF2&lt;=Model!$E$38,-(Model!$E$40*Model!$E$10)/4,0)</f>
        <v>0</v>
      </c>
      <c r="BG7" s="151">
        <f>IF(BG2&lt;=Model!$E$38,-(Model!$E$40*Model!$E$10)/4,0)</f>
        <v>0</v>
      </c>
      <c r="BH7" s="151">
        <f>IF(BH2&lt;=Model!$E$38,-(Model!$E$40*Model!$E$10)/4,0)</f>
        <v>0</v>
      </c>
      <c r="BI7" s="151">
        <f>IF(BI2&lt;=Model!$E$38,-(Model!$E$40*Model!$E$10)/4,0)</f>
        <v>0</v>
      </c>
      <c r="BJ7" s="151">
        <f>IF(BJ2&lt;=Model!$E$38,-(Model!$E$40*Model!$E$10)/4,0)</f>
        <v>0</v>
      </c>
      <c r="BK7" s="151">
        <f>IF(BK2&lt;=Model!$E$38,-(Model!$E$40*Model!$E$10)/4,0)</f>
        <v>0</v>
      </c>
      <c r="BL7" s="151">
        <f>IF(BL2&lt;=Model!$E$38,-(Model!$E$40*Model!$E$10)/4,0)</f>
        <v>0</v>
      </c>
      <c r="BM7" s="151">
        <f>IF(BM2&lt;=Model!$E$38,-(Model!$E$40*Model!$E$10)/4,0)</f>
        <v>0</v>
      </c>
      <c r="BN7" s="151">
        <f>IF(BN2&lt;=Model!$E$38,-(Model!$E$40*Model!$E$10)/4,0)</f>
        <v>0</v>
      </c>
      <c r="BO7" s="151">
        <f>IF(BO2&lt;=Model!$E$38,-(Model!$E$40*Model!$E$10)/4,0)</f>
        <v>0</v>
      </c>
      <c r="BP7" s="151">
        <f>IF(BP2&lt;=Model!$E$38,-(Model!$E$40*Model!$E$10)/4,0)</f>
        <v>0</v>
      </c>
      <c r="BQ7" s="151">
        <f>IF(BQ2&lt;=Model!$E$38,-(Model!$E$40*Model!$E$10)/4,0)</f>
        <v>0</v>
      </c>
      <c r="BR7" s="151">
        <f>IF(BR2&lt;=Model!$E$38,-(Model!$E$40*Model!$E$10)/4,0)</f>
        <v>0</v>
      </c>
      <c r="BS7" s="151">
        <f>IF(BS2&lt;=Model!$E$38,-(Model!$E$40*Model!$E$10)/4,0)</f>
        <v>0</v>
      </c>
      <c r="BT7" s="151">
        <f>IF(BT2&lt;=Model!$E$38,-(Model!$E$40*Model!$E$10)/4,0)</f>
        <v>0</v>
      </c>
      <c r="BU7" s="151">
        <f>IF(BU2&lt;=Model!$E$38,-(Model!$E$40*Model!$E$10)/4,0)</f>
        <v>0</v>
      </c>
      <c r="BV7" s="151">
        <f>IF(BV2&lt;=Model!$E$38,-(Model!$E$40*Model!$E$10)/4,0)</f>
        <v>0</v>
      </c>
      <c r="BW7" s="151">
        <f>IF(BW2&lt;=Model!$E$38,-(Model!$E$40*Model!$E$10)/4,0)</f>
        <v>0</v>
      </c>
      <c r="BX7" s="151">
        <f>SUM(C7:BW7)</f>
        <v>-1000000</v>
      </c>
    </row>
    <row r="8" spans="1:76" s="138" customFormat="1" x14ac:dyDescent="0.25">
      <c r="A8" s="2"/>
      <c r="B8" s="171" t="s">
        <v>136</v>
      </c>
      <c r="C8" s="172">
        <f>SUM(C6:C7)</f>
        <v>0</v>
      </c>
      <c r="D8" s="172">
        <f t="shared" ref="D8:BO8" si="31">SUM(D6:D7)</f>
        <v>-525000</v>
      </c>
      <c r="E8" s="172">
        <f t="shared" si="31"/>
        <v>-525000</v>
      </c>
      <c r="F8" s="172">
        <f t="shared" si="31"/>
        <v>-525000</v>
      </c>
      <c r="G8" s="172">
        <f t="shared" si="31"/>
        <v>-525000</v>
      </c>
      <c r="H8" s="172">
        <f t="shared" si="31"/>
        <v>-525000</v>
      </c>
      <c r="I8" s="172">
        <f t="shared" si="31"/>
        <v>-525000</v>
      </c>
      <c r="J8" s="172">
        <f t="shared" si="31"/>
        <v>-525000</v>
      </c>
      <c r="K8" s="172">
        <f t="shared" si="31"/>
        <v>-525000</v>
      </c>
      <c r="L8" s="172">
        <f t="shared" si="31"/>
        <v>-525000</v>
      </c>
      <c r="M8" s="172">
        <f t="shared" si="31"/>
        <v>-525000</v>
      </c>
      <c r="N8" s="172">
        <f t="shared" si="31"/>
        <v>-525000</v>
      </c>
      <c r="O8" s="172">
        <f t="shared" si="31"/>
        <v>-525000</v>
      </c>
      <c r="P8" s="172">
        <f t="shared" si="31"/>
        <v>-525000</v>
      </c>
      <c r="Q8" s="172">
        <f t="shared" si="31"/>
        <v>-525000</v>
      </c>
      <c r="R8" s="172">
        <f t="shared" si="31"/>
        <v>-525000</v>
      </c>
      <c r="S8" s="172">
        <f t="shared" si="31"/>
        <v>-525000</v>
      </c>
      <c r="T8" s="172">
        <f t="shared" si="31"/>
        <v>-525000</v>
      </c>
      <c r="U8" s="172">
        <f t="shared" si="31"/>
        <v>-525000</v>
      </c>
      <c r="V8" s="172">
        <f t="shared" si="31"/>
        <v>-525000</v>
      </c>
      <c r="W8" s="172">
        <f t="shared" si="31"/>
        <v>-525000</v>
      </c>
      <c r="X8" s="172">
        <f t="shared" si="31"/>
        <v>-493750</v>
      </c>
      <c r="Y8" s="172">
        <f t="shared" si="31"/>
        <v>-462499.99999999994</v>
      </c>
      <c r="Z8" s="172">
        <f t="shared" si="31"/>
        <v>-431249.99999999994</v>
      </c>
      <c r="AA8" s="172">
        <f t="shared" si="31"/>
        <v>-399999.99999999994</v>
      </c>
      <c r="AB8" s="172">
        <f t="shared" si="31"/>
        <v>-368749.99999999994</v>
      </c>
      <c r="AC8" s="172">
        <f t="shared" si="31"/>
        <v>-337500</v>
      </c>
      <c r="AD8" s="172">
        <f t="shared" si="31"/>
        <v>-306250</v>
      </c>
      <c r="AE8" s="172">
        <f t="shared" si="31"/>
        <v>-275000</v>
      </c>
      <c r="AF8" s="172">
        <f t="shared" si="31"/>
        <v>-275000</v>
      </c>
      <c r="AG8" s="172">
        <f t="shared" si="31"/>
        <v>-275000</v>
      </c>
      <c r="AH8" s="172">
        <f t="shared" si="31"/>
        <v>-275000</v>
      </c>
      <c r="AI8" s="172">
        <f t="shared" si="31"/>
        <v>-275000</v>
      </c>
      <c r="AJ8" s="172">
        <f t="shared" si="31"/>
        <v>-275000</v>
      </c>
      <c r="AK8" s="172">
        <f t="shared" si="31"/>
        <v>-275000</v>
      </c>
      <c r="AL8" s="172">
        <f t="shared" si="31"/>
        <v>-275000</v>
      </c>
      <c r="AM8" s="172">
        <f t="shared" si="31"/>
        <v>-275000</v>
      </c>
      <c r="AN8" s="172">
        <f t="shared" si="31"/>
        <v>-275000</v>
      </c>
      <c r="AO8" s="172">
        <f t="shared" si="31"/>
        <v>-275000</v>
      </c>
      <c r="AP8" s="172">
        <f t="shared" si="31"/>
        <v>-275000</v>
      </c>
      <c r="AQ8" s="172">
        <f t="shared" si="31"/>
        <v>-275000</v>
      </c>
      <c r="AR8" s="172">
        <f t="shared" si="31"/>
        <v>0</v>
      </c>
      <c r="AS8" s="172">
        <f t="shared" si="31"/>
        <v>0</v>
      </c>
      <c r="AT8" s="172">
        <f t="shared" si="31"/>
        <v>0</v>
      </c>
      <c r="AU8" s="172">
        <f t="shared" si="31"/>
        <v>0</v>
      </c>
      <c r="AV8" s="172">
        <f t="shared" si="31"/>
        <v>0</v>
      </c>
      <c r="AW8" s="172">
        <f t="shared" si="31"/>
        <v>0</v>
      </c>
      <c r="AX8" s="172">
        <f t="shared" si="31"/>
        <v>0</v>
      </c>
      <c r="AY8" s="172">
        <f t="shared" si="31"/>
        <v>0</v>
      </c>
      <c r="AZ8" s="172">
        <f t="shared" si="31"/>
        <v>0</v>
      </c>
      <c r="BA8" s="172">
        <f t="shared" si="31"/>
        <v>0</v>
      </c>
      <c r="BB8" s="172">
        <f t="shared" si="31"/>
        <v>0</v>
      </c>
      <c r="BC8" s="172">
        <f t="shared" si="31"/>
        <v>0</v>
      </c>
      <c r="BD8" s="172">
        <f t="shared" si="31"/>
        <v>0</v>
      </c>
      <c r="BE8" s="172">
        <f t="shared" si="31"/>
        <v>0</v>
      </c>
      <c r="BF8" s="172">
        <f t="shared" si="31"/>
        <v>0</v>
      </c>
      <c r="BG8" s="172">
        <f t="shared" si="31"/>
        <v>0</v>
      </c>
      <c r="BH8" s="172">
        <f t="shared" si="31"/>
        <v>0</v>
      </c>
      <c r="BI8" s="172">
        <f t="shared" si="31"/>
        <v>0</v>
      </c>
      <c r="BJ8" s="172">
        <f t="shared" si="31"/>
        <v>0</v>
      </c>
      <c r="BK8" s="172">
        <f t="shared" si="31"/>
        <v>0</v>
      </c>
      <c r="BL8" s="172">
        <f t="shared" si="31"/>
        <v>0</v>
      </c>
      <c r="BM8" s="172">
        <f t="shared" si="31"/>
        <v>0</v>
      </c>
      <c r="BN8" s="172">
        <f t="shared" si="31"/>
        <v>0</v>
      </c>
      <c r="BO8" s="172">
        <f t="shared" si="31"/>
        <v>0</v>
      </c>
      <c r="BP8" s="172">
        <f t="shared" ref="BP8:BW8" si="32">SUM(BP6:BP7)</f>
        <v>0</v>
      </c>
      <c r="BQ8" s="172">
        <f t="shared" si="32"/>
        <v>0</v>
      </c>
      <c r="BR8" s="172">
        <f t="shared" si="32"/>
        <v>0</v>
      </c>
      <c r="BS8" s="172">
        <f t="shared" si="32"/>
        <v>0</v>
      </c>
      <c r="BT8" s="172">
        <f t="shared" si="32"/>
        <v>0</v>
      </c>
      <c r="BU8" s="172">
        <f t="shared" si="32"/>
        <v>0</v>
      </c>
      <c r="BV8" s="172">
        <f t="shared" si="32"/>
        <v>0</v>
      </c>
      <c r="BW8" s="172">
        <f t="shared" si="32"/>
        <v>0</v>
      </c>
      <c r="BX8" s="172">
        <f>SUM(C8:BW8)</f>
        <v>-16875000</v>
      </c>
    </row>
    <row r="9" spans="1:76" x14ac:dyDescent="0.25">
      <c r="C9" s="77"/>
      <c r="D9" s="77"/>
      <c r="E9" s="77"/>
      <c r="F9" s="77"/>
      <c r="G9" s="77"/>
      <c r="H9" s="77"/>
      <c r="I9" s="77"/>
      <c r="J9" s="77"/>
      <c r="K9" s="77"/>
      <c r="L9" s="77"/>
      <c r="M9" s="77"/>
      <c r="N9" s="77"/>
      <c r="O9" s="77"/>
      <c r="P9" s="77"/>
      <c r="Q9" s="77"/>
      <c r="R9" s="77"/>
      <c r="S9" s="77"/>
      <c r="T9" s="77"/>
      <c r="U9" s="77"/>
      <c r="V9" s="77"/>
      <c r="W9" s="77"/>
      <c r="X9" s="77"/>
      <c r="Y9" s="77"/>
      <c r="Z9" s="77"/>
      <c r="AA9" s="77"/>
      <c r="AB9" s="77"/>
      <c r="AC9" s="77"/>
      <c r="AD9" s="77"/>
      <c r="AE9" s="77"/>
      <c r="AF9" s="77"/>
      <c r="AG9" s="77"/>
      <c r="AH9" s="77"/>
      <c r="AI9" s="77"/>
      <c r="AJ9" s="77"/>
      <c r="AK9" s="77"/>
      <c r="AL9" s="77"/>
      <c r="AM9" s="77"/>
      <c r="AN9" s="77"/>
      <c r="AO9" s="77"/>
      <c r="AP9" s="77"/>
      <c r="AQ9" s="77"/>
      <c r="AR9" s="77"/>
      <c r="AS9" s="77"/>
      <c r="AT9" s="77"/>
      <c r="AU9" s="77"/>
      <c r="AV9" s="77"/>
      <c r="AW9" s="77"/>
      <c r="AX9" s="77"/>
      <c r="AY9" s="77"/>
      <c r="AZ9" s="77"/>
      <c r="BA9" s="77"/>
      <c r="BB9" s="77"/>
      <c r="BC9" s="77"/>
      <c r="BD9" s="77"/>
      <c r="BE9" s="77"/>
      <c r="BF9" s="77"/>
      <c r="BG9" s="77"/>
      <c r="BH9" s="77"/>
      <c r="BI9" s="77"/>
      <c r="BJ9" s="77"/>
      <c r="BK9" s="77"/>
      <c r="BL9" s="77"/>
      <c r="BM9" s="77"/>
      <c r="BN9" s="77"/>
      <c r="BO9" s="77"/>
      <c r="BP9" s="77"/>
      <c r="BQ9" s="77"/>
      <c r="BR9" s="77"/>
      <c r="BS9" s="77"/>
      <c r="BT9" s="77"/>
      <c r="BU9" s="77"/>
      <c r="BV9" s="77"/>
      <c r="BW9" s="77"/>
      <c r="BX9" s="151"/>
    </row>
    <row r="10" spans="1:76" x14ac:dyDescent="0.25">
      <c r="B10" t="s">
        <v>35</v>
      </c>
      <c r="C10" s="77">
        <f>C11+C8</f>
        <v>0</v>
      </c>
      <c r="D10" s="151">
        <f t="shared" ref="D10:BO10" ca="1" si="33">D11+D8</f>
        <v>-6525000</v>
      </c>
      <c r="E10" s="151">
        <f t="shared" ca="1" si="33"/>
        <v>-6525000</v>
      </c>
      <c r="F10" s="151">
        <f t="shared" ca="1" si="33"/>
        <v>-6525000</v>
      </c>
      <c r="G10" s="151">
        <f t="shared" ca="1" si="33"/>
        <v>-6525000</v>
      </c>
      <c r="H10" s="151">
        <f t="shared" ca="1" si="33"/>
        <v>-6525000</v>
      </c>
      <c r="I10" s="151">
        <f t="shared" ca="1" si="33"/>
        <v>-6525000</v>
      </c>
      <c r="J10" s="151">
        <f t="shared" ca="1" si="33"/>
        <v>-13070454.545454545</v>
      </c>
      <c r="K10" s="151">
        <f t="shared" ca="1" si="33"/>
        <v>-13070454.545454545</v>
      </c>
      <c r="L10" s="151">
        <f t="shared" ca="1" si="33"/>
        <v>-9070454.5454545449</v>
      </c>
      <c r="M10" s="151">
        <f t="shared" ca="1" si="33"/>
        <v>-7070454.5454545449</v>
      </c>
      <c r="N10" s="151">
        <f t="shared" si="33"/>
        <v>-525000</v>
      </c>
      <c r="O10" s="151">
        <f t="shared" si="33"/>
        <v>-525000</v>
      </c>
      <c r="P10" s="151">
        <f t="shared" ca="1" si="33"/>
        <v>-4690909.0909090973</v>
      </c>
      <c r="Q10" s="151">
        <f t="shared" ca="1" si="33"/>
        <v>-3302272.7272727313</v>
      </c>
      <c r="R10" s="151">
        <f t="shared" si="33"/>
        <v>-525000</v>
      </c>
      <c r="S10" s="151">
        <f t="shared" si="33"/>
        <v>-525000</v>
      </c>
      <c r="T10" s="151">
        <f t="shared" si="33"/>
        <v>-525000</v>
      </c>
      <c r="U10" s="151">
        <f t="shared" si="33"/>
        <v>-525000</v>
      </c>
      <c r="V10" s="151">
        <f t="shared" si="33"/>
        <v>-525000</v>
      </c>
      <c r="W10" s="151">
        <f t="shared" si="33"/>
        <v>-525000</v>
      </c>
      <c r="X10" s="151">
        <f t="shared" si="33"/>
        <v>-493750</v>
      </c>
      <c r="Y10" s="151">
        <f t="shared" si="33"/>
        <v>-462499.99999999994</v>
      </c>
      <c r="Z10" s="151">
        <f t="shared" si="33"/>
        <v>-431249.99999999994</v>
      </c>
      <c r="AA10" s="151">
        <f t="shared" si="33"/>
        <v>-399999.99999999994</v>
      </c>
      <c r="AB10" s="151">
        <f t="shared" si="33"/>
        <v>-368749.99999999994</v>
      </c>
      <c r="AC10" s="151">
        <f t="shared" si="33"/>
        <v>-337500</v>
      </c>
      <c r="AD10" s="151">
        <f t="shared" si="33"/>
        <v>-306250</v>
      </c>
      <c r="AE10" s="151">
        <f t="shared" si="33"/>
        <v>-275000</v>
      </c>
      <c r="AF10" s="151">
        <f t="shared" si="33"/>
        <v>-275000</v>
      </c>
      <c r="AG10" s="151">
        <f t="shared" si="33"/>
        <v>-275000</v>
      </c>
      <c r="AH10" s="151">
        <f t="shared" si="33"/>
        <v>-275000</v>
      </c>
      <c r="AI10" s="151">
        <f t="shared" si="33"/>
        <v>-275000</v>
      </c>
      <c r="AJ10" s="151">
        <f t="shared" si="33"/>
        <v>-275000</v>
      </c>
      <c r="AK10" s="151">
        <f t="shared" si="33"/>
        <v>-275000</v>
      </c>
      <c r="AL10" s="151">
        <f t="shared" si="33"/>
        <v>-275000</v>
      </c>
      <c r="AM10" s="151">
        <f t="shared" si="33"/>
        <v>-275000</v>
      </c>
      <c r="AN10" s="151">
        <f t="shared" si="33"/>
        <v>-275000</v>
      </c>
      <c r="AO10" s="151">
        <f t="shared" si="33"/>
        <v>-275000</v>
      </c>
      <c r="AP10" s="151">
        <f t="shared" si="33"/>
        <v>-275000</v>
      </c>
      <c r="AQ10" s="151">
        <f t="shared" si="33"/>
        <v>-275000</v>
      </c>
      <c r="AR10" s="151">
        <f t="shared" si="33"/>
        <v>0</v>
      </c>
      <c r="AS10" s="151">
        <f t="shared" si="33"/>
        <v>0</v>
      </c>
      <c r="AT10" s="151">
        <f t="shared" si="33"/>
        <v>0</v>
      </c>
      <c r="AU10" s="151">
        <f t="shared" si="33"/>
        <v>0</v>
      </c>
      <c r="AV10" s="151">
        <f t="shared" si="33"/>
        <v>0</v>
      </c>
      <c r="AW10" s="151">
        <f t="shared" si="33"/>
        <v>0</v>
      </c>
      <c r="AX10" s="151">
        <f t="shared" si="33"/>
        <v>0</v>
      </c>
      <c r="AY10" s="151">
        <f t="shared" si="33"/>
        <v>0</v>
      </c>
      <c r="AZ10" s="151">
        <f t="shared" si="33"/>
        <v>0</v>
      </c>
      <c r="BA10" s="151">
        <f t="shared" si="33"/>
        <v>0</v>
      </c>
      <c r="BB10" s="151">
        <f t="shared" si="33"/>
        <v>0</v>
      </c>
      <c r="BC10" s="151">
        <f t="shared" si="33"/>
        <v>0</v>
      </c>
      <c r="BD10" s="151">
        <f t="shared" si="33"/>
        <v>0</v>
      </c>
      <c r="BE10" s="151">
        <f t="shared" si="33"/>
        <v>0</v>
      </c>
      <c r="BF10" s="151">
        <f t="shared" si="33"/>
        <v>0</v>
      </c>
      <c r="BG10" s="151">
        <f t="shared" si="33"/>
        <v>0</v>
      </c>
      <c r="BH10" s="151">
        <f t="shared" si="33"/>
        <v>0</v>
      </c>
      <c r="BI10" s="151">
        <f t="shared" si="33"/>
        <v>0</v>
      </c>
      <c r="BJ10" s="151">
        <f t="shared" si="33"/>
        <v>0</v>
      </c>
      <c r="BK10" s="151">
        <f t="shared" si="33"/>
        <v>0</v>
      </c>
      <c r="BL10" s="151">
        <f t="shared" si="33"/>
        <v>0</v>
      </c>
      <c r="BM10" s="151">
        <f t="shared" si="33"/>
        <v>0</v>
      </c>
      <c r="BN10" s="151">
        <f t="shared" si="33"/>
        <v>0</v>
      </c>
      <c r="BO10" s="151">
        <f t="shared" si="33"/>
        <v>0</v>
      </c>
      <c r="BP10" s="151">
        <f t="shared" ref="BP10:BW10" si="34">BP11+BP8</f>
        <v>0</v>
      </c>
      <c r="BQ10" s="151">
        <f t="shared" si="34"/>
        <v>0</v>
      </c>
      <c r="BR10" s="151">
        <f t="shared" si="34"/>
        <v>0</v>
      </c>
      <c r="BS10" s="151">
        <f t="shared" si="34"/>
        <v>0</v>
      </c>
      <c r="BT10" s="151">
        <f t="shared" si="34"/>
        <v>0</v>
      </c>
      <c r="BU10" s="151">
        <f t="shared" si="34"/>
        <v>0</v>
      </c>
      <c r="BV10" s="151">
        <f t="shared" si="34"/>
        <v>0</v>
      </c>
      <c r="BW10" s="151">
        <f t="shared" si="34"/>
        <v>0</v>
      </c>
      <c r="BX10" s="151">
        <f ca="1">SUM(C10:BW10)</f>
        <v>-100000000.00000001</v>
      </c>
    </row>
    <row r="11" spans="1:76" x14ac:dyDescent="0.25">
      <c r="B11" t="s">
        <v>36</v>
      </c>
      <c r="C11" s="77">
        <f>-SUMIFS(Model!$AA$6:$AA$105,Model!$AB$6:$AB$105,"&gt;"&amp;EOMONTH(C$4-95,0),Model!$AB$6:$AB$105,"&lt;="&amp;C$4)-SUMIFS(Model!$AJ$6:$AJ$105,Model!$AK$6:$AK$105,"&gt;"&amp;EOMONTH(C$4-95,0),Model!$AK$6:$AK$105,"&lt;="&amp;C$4)-SUMIFS(Model!$AS$6:$AS$105,Model!$AT$6:$AT$105,"&gt;"&amp;EOMONTH(C$4-95,0),Model!$AT$6:$AT$105,"&lt;="&amp;C$4)-SUMIFS(Model!$BB$6:$BB$105,Model!$BC$6:$BC$105,"&gt;"&amp;EOMONTH(C$4-95,0),Model!$BC$6:$BC$105,"&lt;="&amp;C$4)-SUMIFS(Model!$BK$6:$BK$105,Model!$BL$6:$BL$105,"&gt;"&amp;EOMONTH(C$4-95,0),Model!$BL$6:$BL$105,"&lt;="&amp;C$4)-SUMIFS(Model!$BT$6:$BT$105,Model!$BU$6:$BU$105,"&gt;"&amp;EOMONTH(C$4-95,0),Model!$BU$6:$BU$105,"&lt;="&amp;C$4)-SUMIFS(Model!$CC$6:$CC$105,Model!$CD$6:$CD$105,"&gt;"&amp;EOMONTH(C$4-95,0),Model!$CD$6:$CD$105,"&lt;="&amp;C$4)-SUMIFS(Model!$CL$6:$CL$105,Model!$CM$6:$CM$105,"&gt;"&amp;EOMONTH(C$4-95,0),Model!$CM$6:$CM$105,"&lt;="&amp;C$4)-SUMIFS(Model!$CU$6:$CU$105,Model!$CV$6:$CV$105,"&gt;"&amp;EOMONTH(C$4-95,0),Model!$CV$6:$CV$105,"&lt;="&amp;C$4)</f>
        <v>0</v>
      </c>
      <c r="D11" s="151">
        <f ca="1">-SUMIFS(Model!$AA$6:$AA$105,Model!$AB$6:$AB$105,"&gt;"&amp;EOMONTH(D$4-95,0),Model!$AB$6:$AB$105,"&lt;="&amp;D$4)-SUMIFS(Model!$AJ$6:$AJ$105,Model!$AK$6:$AK$105,"&gt;"&amp;EOMONTH(D$4-95,0),Model!$AK$6:$AK$105,"&lt;="&amp;D$4)-SUMIFS(Model!$AS$6:$AS$105,Model!$AT$6:$AT$105,"&gt;"&amp;EOMONTH(D$4-95,0),Model!$AT$6:$AT$105,"&lt;="&amp;D$4)-SUMIFS(Model!$BB$6:$BB$105,Model!$BC$6:$BC$105,"&gt;"&amp;EOMONTH(D$4-95,0),Model!$BC$6:$BC$105,"&lt;="&amp;D$4)-SUMIFS(Model!$BK$6:$BK$105,Model!$BL$6:$BL$105,"&gt;"&amp;EOMONTH(D$4-95,0),Model!$BL$6:$BL$105,"&lt;="&amp;D$4)-SUMIFS(Model!$BT$6:$BT$105,Model!$BU$6:$BU$105,"&gt;"&amp;EOMONTH(D$4-95,0),Model!$BU$6:$BU$105,"&lt;="&amp;D$4)-SUMIFS(Model!$CC$6:$CC$105,Model!$CD$6:$CD$105,"&gt;"&amp;EOMONTH(D$4-95,0),Model!$CD$6:$CD$105,"&lt;="&amp;D$4)-SUMIFS(Model!$CL$6:$CL$105,Model!$CM$6:$CM$105,"&gt;"&amp;EOMONTH(D$4-95,0),Model!$CM$6:$CM$105,"&lt;="&amp;D$4)-SUMIFS(Model!$CU$6:$CU$105,Model!$CV$6:$CV$105,"&gt;"&amp;EOMONTH(D$4-95,0),Model!$CV$6:$CV$105,"&lt;="&amp;D$4)</f>
        <v>-6000000</v>
      </c>
      <c r="E11" s="151">
        <f ca="1">-SUMIFS(Model!$AA$6:$AA$105,Model!$AB$6:$AB$105,"&gt;"&amp;EOMONTH(E$4-95,0),Model!$AB$6:$AB$105,"&lt;="&amp;E$4)-SUMIFS(Model!$AJ$6:$AJ$105,Model!$AK$6:$AK$105,"&gt;"&amp;EOMONTH(E$4-95,0),Model!$AK$6:$AK$105,"&lt;="&amp;E$4)-SUMIFS(Model!$AS$6:$AS$105,Model!$AT$6:$AT$105,"&gt;"&amp;EOMONTH(E$4-95,0),Model!$AT$6:$AT$105,"&lt;="&amp;E$4)-SUMIFS(Model!$BB$6:$BB$105,Model!$BC$6:$BC$105,"&gt;"&amp;EOMONTH(E$4-95,0),Model!$BC$6:$BC$105,"&lt;="&amp;E$4)-SUMIFS(Model!$BK$6:$BK$105,Model!$BL$6:$BL$105,"&gt;"&amp;EOMONTH(E$4-95,0),Model!$BL$6:$BL$105,"&lt;="&amp;E$4)-SUMIFS(Model!$BT$6:$BT$105,Model!$BU$6:$BU$105,"&gt;"&amp;EOMONTH(E$4-95,0),Model!$BU$6:$BU$105,"&lt;="&amp;E$4)-SUMIFS(Model!$CC$6:$CC$105,Model!$CD$6:$CD$105,"&gt;"&amp;EOMONTH(E$4-95,0),Model!$CD$6:$CD$105,"&lt;="&amp;E$4)-SUMIFS(Model!$CL$6:$CL$105,Model!$CM$6:$CM$105,"&gt;"&amp;EOMONTH(E$4-95,0),Model!$CM$6:$CM$105,"&lt;="&amp;E$4)-SUMIFS(Model!$CU$6:$CU$105,Model!$CV$6:$CV$105,"&gt;"&amp;EOMONTH(E$4-95,0),Model!$CV$6:$CV$105,"&lt;="&amp;E$4)</f>
        <v>-6000000</v>
      </c>
      <c r="F11" s="151">
        <f ca="1">-SUMIFS(Model!$AA$6:$AA$105,Model!$AB$6:$AB$105,"&gt;"&amp;EOMONTH(F$4-95,0),Model!$AB$6:$AB$105,"&lt;="&amp;F$4)-SUMIFS(Model!$AJ$6:$AJ$105,Model!$AK$6:$AK$105,"&gt;"&amp;EOMONTH(F$4-95,0),Model!$AK$6:$AK$105,"&lt;="&amp;F$4)-SUMIFS(Model!$AS$6:$AS$105,Model!$AT$6:$AT$105,"&gt;"&amp;EOMONTH(F$4-95,0),Model!$AT$6:$AT$105,"&lt;="&amp;F$4)-SUMIFS(Model!$BB$6:$BB$105,Model!$BC$6:$BC$105,"&gt;"&amp;EOMONTH(F$4-95,0),Model!$BC$6:$BC$105,"&lt;="&amp;F$4)-SUMIFS(Model!$BK$6:$BK$105,Model!$BL$6:$BL$105,"&gt;"&amp;EOMONTH(F$4-95,0),Model!$BL$6:$BL$105,"&lt;="&amp;F$4)-SUMIFS(Model!$BT$6:$BT$105,Model!$BU$6:$BU$105,"&gt;"&amp;EOMONTH(F$4-95,0),Model!$BU$6:$BU$105,"&lt;="&amp;F$4)-SUMIFS(Model!$CC$6:$CC$105,Model!$CD$6:$CD$105,"&gt;"&amp;EOMONTH(F$4-95,0),Model!$CD$6:$CD$105,"&lt;="&amp;F$4)-SUMIFS(Model!$CL$6:$CL$105,Model!$CM$6:$CM$105,"&gt;"&amp;EOMONTH(F$4-95,0),Model!$CM$6:$CM$105,"&lt;="&amp;F$4)-SUMIFS(Model!$CU$6:$CU$105,Model!$CV$6:$CV$105,"&gt;"&amp;EOMONTH(F$4-95,0),Model!$CV$6:$CV$105,"&lt;="&amp;F$4)</f>
        <v>-6000000</v>
      </c>
      <c r="G11" s="151">
        <f ca="1">-SUMIFS(Model!$AA$6:$AA$105,Model!$AB$6:$AB$105,"&gt;"&amp;EOMONTH(G$4-95,0),Model!$AB$6:$AB$105,"&lt;="&amp;G$4)-SUMIFS(Model!$AJ$6:$AJ$105,Model!$AK$6:$AK$105,"&gt;"&amp;EOMONTH(G$4-95,0),Model!$AK$6:$AK$105,"&lt;="&amp;G$4)-SUMIFS(Model!$AS$6:$AS$105,Model!$AT$6:$AT$105,"&gt;"&amp;EOMONTH(G$4-95,0),Model!$AT$6:$AT$105,"&lt;="&amp;G$4)-SUMIFS(Model!$BB$6:$BB$105,Model!$BC$6:$BC$105,"&gt;"&amp;EOMONTH(G$4-95,0),Model!$BC$6:$BC$105,"&lt;="&amp;G$4)-SUMIFS(Model!$BK$6:$BK$105,Model!$BL$6:$BL$105,"&gt;"&amp;EOMONTH(G$4-95,0),Model!$BL$6:$BL$105,"&lt;="&amp;G$4)-SUMIFS(Model!$BT$6:$BT$105,Model!$BU$6:$BU$105,"&gt;"&amp;EOMONTH(G$4-95,0),Model!$BU$6:$BU$105,"&lt;="&amp;G$4)-SUMIFS(Model!$CC$6:$CC$105,Model!$CD$6:$CD$105,"&gt;"&amp;EOMONTH(G$4-95,0),Model!$CD$6:$CD$105,"&lt;="&amp;G$4)-SUMIFS(Model!$CL$6:$CL$105,Model!$CM$6:$CM$105,"&gt;"&amp;EOMONTH(G$4-95,0),Model!$CM$6:$CM$105,"&lt;="&amp;G$4)-SUMIFS(Model!$CU$6:$CU$105,Model!$CV$6:$CV$105,"&gt;"&amp;EOMONTH(G$4-95,0),Model!$CV$6:$CV$105,"&lt;="&amp;G$4)</f>
        <v>-6000000</v>
      </c>
      <c r="H11" s="151">
        <f ca="1">-SUMIFS(Model!$AA$6:$AA$105,Model!$AB$6:$AB$105,"&gt;"&amp;EOMONTH(H$4-95,0),Model!$AB$6:$AB$105,"&lt;="&amp;H$4)-SUMIFS(Model!$AJ$6:$AJ$105,Model!$AK$6:$AK$105,"&gt;"&amp;EOMONTH(H$4-95,0),Model!$AK$6:$AK$105,"&lt;="&amp;H$4)-SUMIFS(Model!$AS$6:$AS$105,Model!$AT$6:$AT$105,"&gt;"&amp;EOMONTH(H$4-95,0),Model!$AT$6:$AT$105,"&lt;="&amp;H$4)-SUMIFS(Model!$BB$6:$BB$105,Model!$BC$6:$BC$105,"&gt;"&amp;EOMONTH(H$4-95,0),Model!$BC$6:$BC$105,"&lt;="&amp;H$4)-SUMIFS(Model!$BK$6:$BK$105,Model!$BL$6:$BL$105,"&gt;"&amp;EOMONTH(H$4-95,0),Model!$BL$6:$BL$105,"&lt;="&amp;H$4)-SUMIFS(Model!$BT$6:$BT$105,Model!$BU$6:$BU$105,"&gt;"&amp;EOMONTH(H$4-95,0),Model!$BU$6:$BU$105,"&lt;="&amp;H$4)-SUMIFS(Model!$CC$6:$CC$105,Model!$CD$6:$CD$105,"&gt;"&amp;EOMONTH(H$4-95,0),Model!$CD$6:$CD$105,"&lt;="&amp;H$4)-SUMIFS(Model!$CL$6:$CL$105,Model!$CM$6:$CM$105,"&gt;"&amp;EOMONTH(H$4-95,0),Model!$CM$6:$CM$105,"&lt;="&amp;H$4)-SUMIFS(Model!$CU$6:$CU$105,Model!$CV$6:$CV$105,"&gt;"&amp;EOMONTH(H$4-95,0),Model!$CV$6:$CV$105,"&lt;="&amp;H$4)</f>
        <v>-6000000</v>
      </c>
      <c r="I11" s="151">
        <f ca="1">-SUMIFS(Model!$AA$6:$AA$105,Model!$AB$6:$AB$105,"&gt;"&amp;EOMONTH(I$4-95,0),Model!$AB$6:$AB$105,"&lt;="&amp;I$4)-SUMIFS(Model!$AJ$6:$AJ$105,Model!$AK$6:$AK$105,"&gt;"&amp;EOMONTH(I$4-95,0),Model!$AK$6:$AK$105,"&lt;="&amp;I$4)-SUMIFS(Model!$AS$6:$AS$105,Model!$AT$6:$AT$105,"&gt;"&amp;EOMONTH(I$4-95,0),Model!$AT$6:$AT$105,"&lt;="&amp;I$4)-SUMIFS(Model!$BB$6:$BB$105,Model!$BC$6:$BC$105,"&gt;"&amp;EOMONTH(I$4-95,0),Model!$BC$6:$BC$105,"&lt;="&amp;I$4)-SUMIFS(Model!$BK$6:$BK$105,Model!$BL$6:$BL$105,"&gt;"&amp;EOMONTH(I$4-95,0),Model!$BL$6:$BL$105,"&lt;="&amp;I$4)-SUMIFS(Model!$BT$6:$BT$105,Model!$BU$6:$BU$105,"&gt;"&amp;EOMONTH(I$4-95,0),Model!$BU$6:$BU$105,"&lt;="&amp;I$4)-SUMIFS(Model!$CC$6:$CC$105,Model!$CD$6:$CD$105,"&gt;"&amp;EOMONTH(I$4-95,0),Model!$CD$6:$CD$105,"&lt;="&amp;I$4)-SUMIFS(Model!$CL$6:$CL$105,Model!$CM$6:$CM$105,"&gt;"&amp;EOMONTH(I$4-95,0),Model!$CM$6:$CM$105,"&lt;="&amp;I$4)-SUMIFS(Model!$CU$6:$CU$105,Model!$CV$6:$CV$105,"&gt;"&amp;EOMONTH(I$4-95,0),Model!$CV$6:$CV$105,"&lt;="&amp;I$4)</f>
        <v>-6000000</v>
      </c>
      <c r="J11" s="151">
        <f ca="1">-SUMIFS(Model!$AA$6:$AA$105,Model!$AB$6:$AB$105,"&gt;"&amp;EOMONTH(J$4-95,0),Model!$AB$6:$AB$105,"&lt;="&amp;J$4)-SUMIFS(Model!$AJ$6:$AJ$105,Model!$AK$6:$AK$105,"&gt;"&amp;EOMONTH(J$4-95,0),Model!$AK$6:$AK$105,"&lt;="&amp;J$4)-SUMIFS(Model!$AS$6:$AS$105,Model!$AT$6:$AT$105,"&gt;"&amp;EOMONTH(J$4-95,0),Model!$AT$6:$AT$105,"&lt;="&amp;J$4)-SUMIFS(Model!$BB$6:$BB$105,Model!$BC$6:$BC$105,"&gt;"&amp;EOMONTH(J$4-95,0),Model!$BC$6:$BC$105,"&lt;="&amp;J$4)-SUMIFS(Model!$BK$6:$BK$105,Model!$BL$6:$BL$105,"&gt;"&amp;EOMONTH(J$4-95,0),Model!$BL$6:$BL$105,"&lt;="&amp;J$4)-SUMIFS(Model!$BT$6:$BT$105,Model!$BU$6:$BU$105,"&gt;"&amp;EOMONTH(J$4-95,0),Model!$BU$6:$BU$105,"&lt;="&amp;J$4)-SUMIFS(Model!$CC$6:$CC$105,Model!$CD$6:$CD$105,"&gt;"&amp;EOMONTH(J$4-95,0),Model!$CD$6:$CD$105,"&lt;="&amp;J$4)-SUMIFS(Model!$CL$6:$CL$105,Model!$CM$6:$CM$105,"&gt;"&amp;EOMONTH(J$4-95,0),Model!$CM$6:$CM$105,"&lt;="&amp;J$4)-SUMIFS(Model!$CU$6:$CU$105,Model!$CV$6:$CV$105,"&gt;"&amp;EOMONTH(J$4-95,0),Model!$CV$6:$CV$105,"&lt;="&amp;J$4)</f>
        <v>-12545454.545454545</v>
      </c>
      <c r="K11" s="151">
        <f ca="1">-SUMIFS(Model!$AA$6:$AA$105,Model!$AB$6:$AB$105,"&gt;"&amp;EOMONTH(K$4-95,0),Model!$AB$6:$AB$105,"&lt;="&amp;K$4)-SUMIFS(Model!$AJ$6:$AJ$105,Model!$AK$6:$AK$105,"&gt;"&amp;EOMONTH(K$4-95,0),Model!$AK$6:$AK$105,"&lt;="&amp;K$4)-SUMIFS(Model!$AS$6:$AS$105,Model!$AT$6:$AT$105,"&gt;"&amp;EOMONTH(K$4-95,0),Model!$AT$6:$AT$105,"&lt;="&amp;K$4)-SUMIFS(Model!$BB$6:$BB$105,Model!$BC$6:$BC$105,"&gt;"&amp;EOMONTH(K$4-95,0),Model!$BC$6:$BC$105,"&lt;="&amp;K$4)-SUMIFS(Model!$BK$6:$BK$105,Model!$BL$6:$BL$105,"&gt;"&amp;EOMONTH(K$4-95,0),Model!$BL$6:$BL$105,"&lt;="&amp;K$4)-SUMIFS(Model!$BT$6:$BT$105,Model!$BU$6:$BU$105,"&gt;"&amp;EOMONTH(K$4-95,0),Model!$BU$6:$BU$105,"&lt;="&amp;K$4)-SUMIFS(Model!$CC$6:$CC$105,Model!$CD$6:$CD$105,"&gt;"&amp;EOMONTH(K$4-95,0),Model!$CD$6:$CD$105,"&lt;="&amp;K$4)-SUMIFS(Model!$CL$6:$CL$105,Model!$CM$6:$CM$105,"&gt;"&amp;EOMONTH(K$4-95,0),Model!$CM$6:$CM$105,"&lt;="&amp;K$4)-SUMIFS(Model!$CU$6:$CU$105,Model!$CV$6:$CV$105,"&gt;"&amp;EOMONTH(K$4-95,0),Model!$CV$6:$CV$105,"&lt;="&amp;K$4)</f>
        <v>-12545454.545454545</v>
      </c>
      <c r="L11" s="151">
        <f ca="1">-SUMIFS(Model!$AA$6:$AA$105,Model!$AB$6:$AB$105,"&gt;"&amp;EOMONTH(L$4-95,0),Model!$AB$6:$AB$105,"&lt;="&amp;L$4)-SUMIFS(Model!$AJ$6:$AJ$105,Model!$AK$6:$AK$105,"&gt;"&amp;EOMONTH(L$4-95,0),Model!$AK$6:$AK$105,"&lt;="&amp;L$4)-SUMIFS(Model!$AS$6:$AS$105,Model!$AT$6:$AT$105,"&gt;"&amp;EOMONTH(L$4-95,0),Model!$AT$6:$AT$105,"&lt;="&amp;L$4)-SUMIFS(Model!$BB$6:$BB$105,Model!$BC$6:$BC$105,"&gt;"&amp;EOMONTH(L$4-95,0),Model!$BC$6:$BC$105,"&lt;="&amp;L$4)-SUMIFS(Model!$BK$6:$BK$105,Model!$BL$6:$BL$105,"&gt;"&amp;EOMONTH(L$4-95,0),Model!$BL$6:$BL$105,"&lt;="&amp;L$4)-SUMIFS(Model!$BT$6:$BT$105,Model!$BU$6:$BU$105,"&gt;"&amp;EOMONTH(L$4-95,0),Model!$BU$6:$BU$105,"&lt;="&amp;L$4)-SUMIFS(Model!$CC$6:$CC$105,Model!$CD$6:$CD$105,"&gt;"&amp;EOMONTH(L$4-95,0),Model!$CD$6:$CD$105,"&lt;="&amp;L$4)-SUMIFS(Model!$CL$6:$CL$105,Model!$CM$6:$CM$105,"&gt;"&amp;EOMONTH(L$4-95,0),Model!$CM$6:$CM$105,"&lt;="&amp;L$4)-SUMIFS(Model!$CU$6:$CU$105,Model!$CV$6:$CV$105,"&gt;"&amp;EOMONTH(L$4-95,0),Model!$CV$6:$CV$105,"&lt;="&amp;L$4)</f>
        <v>-8545454.5454545449</v>
      </c>
      <c r="M11" s="151">
        <f ca="1">-SUMIFS(Model!$AA$6:$AA$105,Model!$AB$6:$AB$105,"&gt;"&amp;EOMONTH(M$4-95,0),Model!$AB$6:$AB$105,"&lt;="&amp;M$4)-SUMIFS(Model!$AJ$6:$AJ$105,Model!$AK$6:$AK$105,"&gt;"&amp;EOMONTH(M$4-95,0),Model!$AK$6:$AK$105,"&lt;="&amp;M$4)-SUMIFS(Model!$AS$6:$AS$105,Model!$AT$6:$AT$105,"&gt;"&amp;EOMONTH(M$4-95,0),Model!$AT$6:$AT$105,"&lt;="&amp;M$4)-SUMIFS(Model!$BB$6:$BB$105,Model!$BC$6:$BC$105,"&gt;"&amp;EOMONTH(M$4-95,0),Model!$BC$6:$BC$105,"&lt;="&amp;M$4)-SUMIFS(Model!$BK$6:$BK$105,Model!$BL$6:$BL$105,"&gt;"&amp;EOMONTH(M$4-95,0),Model!$BL$6:$BL$105,"&lt;="&amp;M$4)-SUMIFS(Model!$BT$6:$BT$105,Model!$BU$6:$BU$105,"&gt;"&amp;EOMONTH(M$4-95,0),Model!$BU$6:$BU$105,"&lt;="&amp;M$4)-SUMIFS(Model!$CC$6:$CC$105,Model!$CD$6:$CD$105,"&gt;"&amp;EOMONTH(M$4-95,0),Model!$CD$6:$CD$105,"&lt;="&amp;M$4)-SUMIFS(Model!$CL$6:$CL$105,Model!$CM$6:$CM$105,"&gt;"&amp;EOMONTH(M$4-95,0),Model!$CM$6:$CM$105,"&lt;="&amp;M$4)-SUMIFS(Model!$CU$6:$CU$105,Model!$CV$6:$CV$105,"&gt;"&amp;EOMONTH(M$4-95,0),Model!$CV$6:$CV$105,"&lt;="&amp;M$4)</f>
        <v>-6545454.5454545449</v>
      </c>
      <c r="N11" s="151">
        <f>-SUMIFS(Model!$AA$6:$AA$105,Model!$AB$6:$AB$105,"&gt;"&amp;EOMONTH(N$4-95,0),Model!$AB$6:$AB$105,"&lt;="&amp;N$4)-SUMIFS(Model!$AJ$6:$AJ$105,Model!$AK$6:$AK$105,"&gt;"&amp;EOMONTH(N$4-95,0),Model!$AK$6:$AK$105,"&lt;="&amp;N$4)-SUMIFS(Model!$AS$6:$AS$105,Model!$AT$6:$AT$105,"&gt;"&amp;EOMONTH(N$4-95,0),Model!$AT$6:$AT$105,"&lt;="&amp;N$4)-SUMIFS(Model!$BB$6:$BB$105,Model!$BC$6:$BC$105,"&gt;"&amp;EOMONTH(N$4-95,0),Model!$BC$6:$BC$105,"&lt;="&amp;N$4)-SUMIFS(Model!$BK$6:$BK$105,Model!$BL$6:$BL$105,"&gt;"&amp;EOMONTH(N$4-95,0),Model!$BL$6:$BL$105,"&lt;="&amp;N$4)-SUMIFS(Model!$BT$6:$BT$105,Model!$BU$6:$BU$105,"&gt;"&amp;EOMONTH(N$4-95,0),Model!$BU$6:$BU$105,"&lt;="&amp;N$4)-SUMIFS(Model!$CC$6:$CC$105,Model!$CD$6:$CD$105,"&gt;"&amp;EOMONTH(N$4-95,0),Model!$CD$6:$CD$105,"&lt;="&amp;N$4)-SUMIFS(Model!$CL$6:$CL$105,Model!$CM$6:$CM$105,"&gt;"&amp;EOMONTH(N$4-95,0),Model!$CM$6:$CM$105,"&lt;="&amp;N$4)-SUMIFS(Model!$CU$6:$CU$105,Model!$CV$6:$CV$105,"&gt;"&amp;EOMONTH(N$4-95,0),Model!$CV$6:$CV$105,"&lt;="&amp;N$4)</f>
        <v>0</v>
      </c>
      <c r="O11" s="151">
        <f>-SUMIFS(Model!$AA$6:$AA$105,Model!$AB$6:$AB$105,"&gt;"&amp;EOMONTH(O$4-95,0),Model!$AB$6:$AB$105,"&lt;="&amp;O$4)-SUMIFS(Model!$AJ$6:$AJ$105,Model!$AK$6:$AK$105,"&gt;"&amp;EOMONTH(O$4-95,0),Model!$AK$6:$AK$105,"&lt;="&amp;O$4)-SUMIFS(Model!$AS$6:$AS$105,Model!$AT$6:$AT$105,"&gt;"&amp;EOMONTH(O$4-95,0),Model!$AT$6:$AT$105,"&lt;="&amp;O$4)-SUMIFS(Model!$BB$6:$BB$105,Model!$BC$6:$BC$105,"&gt;"&amp;EOMONTH(O$4-95,0),Model!$BC$6:$BC$105,"&lt;="&amp;O$4)-SUMIFS(Model!$BK$6:$BK$105,Model!$BL$6:$BL$105,"&gt;"&amp;EOMONTH(O$4-95,0),Model!$BL$6:$BL$105,"&lt;="&amp;O$4)-SUMIFS(Model!$BT$6:$BT$105,Model!$BU$6:$BU$105,"&gt;"&amp;EOMONTH(O$4-95,0),Model!$BU$6:$BU$105,"&lt;="&amp;O$4)-SUMIFS(Model!$CC$6:$CC$105,Model!$CD$6:$CD$105,"&gt;"&amp;EOMONTH(O$4-95,0),Model!$CD$6:$CD$105,"&lt;="&amp;O$4)-SUMIFS(Model!$CL$6:$CL$105,Model!$CM$6:$CM$105,"&gt;"&amp;EOMONTH(O$4-95,0),Model!$CM$6:$CM$105,"&lt;="&amp;O$4)-SUMIFS(Model!$CU$6:$CU$105,Model!$CV$6:$CV$105,"&gt;"&amp;EOMONTH(O$4-95,0),Model!$CV$6:$CV$105,"&lt;="&amp;O$4)</f>
        <v>0</v>
      </c>
      <c r="P11" s="151">
        <f ca="1">-SUMIFS(Model!$AA$6:$AA$105,Model!$AB$6:$AB$105,"&gt;"&amp;EOMONTH(P$4-95,0),Model!$AB$6:$AB$105,"&lt;="&amp;P$4)-SUMIFS(Model!$AJ$6:$AJ$105,Model!$AK$6:$AK$105,"&gt;"&amp;EOMONTH(P$4-95,0),Model!$AK$6:$AK$105,"&lt;="&amp;P$4)-SUMIFS(Model!$AS$6:$AS$105,Model!$AT$6:$AT$105,"&gt;"&amp;EOMONTH(P$4-95,0),Model!$AT$6:$AT$105,"&lt;="&amp;P$4)-SUMIFS(Model!$BB$6:$BB$105,Model!$BC$6:$BC$105,"&gt;"&amp;EOMONTH(P$4-95,0),Model!$BC$6:$BC$105,"&lt;="&amp;P$4)-SUMIFS(Model!$BK$6:$BK$105,Model!$BL$6:$BL$105,"&gt;"&amp;EOMONTH(P$4-95,0),Model!$BL$6:$BL$105,"&lt;="&amp;P$4)-SUMIFS(Model!$BT$6:$BT$105,Model!$BU$6:$BU$105,"&gt;"&amp;EOMONTH(P$4-95,0),Model!$BU$6:$BU$105,"&lt;="&amp;P$4)-SUMIFS(Model!$CC$6:$CC$105,Model!$CD$6:$CD$105,"&gt;"&amp;EOMONTH(P$4-95,0),Model!$CD$6:$CD$105,"&lt;="&amp;P$4)-SUMIFS(Model!$CL$6:$CL$105,Model!$CM$6:$CM$105,"&gt;"&amp;EOMONTH(P$4-95,0),Model!$CM$6:$CM$105,"&lt;="&amp;P$4)-SUMIFS(Model!$CU$6:$CU$105,Model!$CV$6:$CV$105,"&gt;"&amp;EOMONTH(P$4-95,0),Model!$CV$6:$CV$105,"&lt;="&amp;P$4)</f>
        <v>-4165909.0909090969</v>
      </c>
      <c r="Q11" s="151">
        <f ca="1">-SUMIFS(Model!$AA$6:$AA$105,Model!$AB$6:$AB$105,"&gt;"&amp;EOMONTH(Q$4-95,0),Model!$AB$6:$AB$105,"&lt;="&amp;Q$4)-SUMIFS(Model!$AJ$6:$AJ$105,Model!$AK$6:$AK$105,"&gt;"&amp;EOMONTH(Q$4-95,0),Model!$AK$6:$AK$105,"&lt;="&amp;Q$4)-SUMIFS(Model!$AS$6:$AS$105,Model!$AT$6:$AT$105,"&gt;"&amp;EOMONTH(Q$4-95,0),Model!$AT$6:$AT$105,"&lt;="&amp;Q$4)-SUMIFS(Model!$BB$6:$BB$105,Model!$BC$6:$BC$105,"&gt;"&amp;EOMONTH(Q$4-95,0),Model!$BC$6:$BC$105,"&lt;="&amp;Q$4)-SUMIFS(Model!$BK$6:$BK$105,Model!$BL$6:$BL$105,"&gt;"&amp;EOMONTH(Q$4-95,0),Model!$BL$6:$BL$105,"&lt;="&amp;Q$4)-SUMIFS(Model!$BT$6:$BT$105,Model!$BU$6:$BU$105,"&gt;"&amp;EOMONTH(Q$4-95,0),Model!$BU$6:$BU$105,"&lt;="&amp;Q$4)-SUMIFS(Model!$CC$6:$CC$105,Model!$CD$6:$CD$105,"&gt;"&amp;EOMONTH(Q$4-95,0),Model!$CD$6:$CD$105,"&lt;="&amp;Q$4)-SUMIFS(Model!$CL$6:$CL$105,Model!$CM$6:$CM$105,"&gt;"&amp;EOMONTH(Q$4-95,0),Model!$CM$6:$CM$105,"&lt;="&amp;Q$4)-SUMIFS(Model!$CU$6:$CU$105,Model!$CV$6:$CV$105,"&gt;"&amp;EOMONTH(Q$4-95,0),Model!$CV$6:$CV$105,"&lt;="&amp;Q$4)</f>
        <v>-2777272.7272727313</v>
      </c>
      <c r="R11" s="151">
        <f>-SUMIFS(Model!$AA$6:$AA$105,Model!$AB$6:$AB$105,"&gt;"&amp;EOMONTH(R$4-95,0),Model!$AB$6:$AB$105,"&lt;="&amp;R$4)-SUMIFS(Model!$AJ$6:$AJ$105,Model!$AK$6:$AK$105,"&gt;"&amp;EOMONTH(R$4-95,0),Model!$AK$6:$AK$105,"&lt;="&amp;R$4)-SUMIFS(Model!$AS$6:$AS$105,Model!$AT$6:$AT$105,"&gt;"&amp;EOMONTH(R$4-95,0),Model!$AT$6:$AT$105,"&lt;="&amp;R$4)-SUMIFS(Model!$BB$6:$BB$105,Model!$BC$6:$BC$105,"&gt;"&amp;EOMONTH(R$4-95,0),Model!$BC$6:$BC$105,"&lt;="&amp;R$4)-SUMIFS(Model!$BK$6:$BK$105,Model!$BL$6:$BL$105,"&gt;"&amp;EOMONTH(R$4-95,0),Model!$BL$6:$BL$105,"&lt;="&amp;R$4)-SUMIFS(Model!$BT$6:$BT$105,Model!$BU$6:$BU$105,"&gt;"&amp;EOMONTH(R$4-95,0),Model!$BU$6:$BU$105,"&lt;="&amp;R$4)-SUMIFS(Model!$CC$6:$CC$105,Model!$CD$6:$CD$105,"&gt;"&amp;EOMONTH(R$4-95,0),Model!$CD$6:$CD$105,"&lt;="&amp;R$4)-SUMIFS(Model!$CL$6:$CL$105,Model!$CM$6:$CM$105,"&gt;"&amp;EOMONTH(R$4-95,0),Model!$CM$6:$CM$105,"&lt;="&amp;R$4)-SUMIFS(Model!$CU$6:$CU$105,Model!$CV$6:$CV$105,"&gt;"&amp;EOMONTH(R$4-95,0),Model!$CV$6:$CV$105,"&lt;="&amp;R$4)</f>
        <v>0</v>
      </c>
      <c r="S11" s="151">
        <f>-SUMIFS(Model!$AA$6:$AA$105,Model!$AB$6:$AB$105,"&gt;"&amp;EOMONTH(S$4-95,0),Model!$AB$6:$AB$105,"&lt;="&amp;S$4)-SUMIFS(Model!$AJ$6:$AJ$105,Model!$AK$6:$AK$105,"&gt;"&amp;EOMONTH(S$4-95,0),Model!$AK$6:$AK$105,"&lt;="&amp;S$4)-SUMIFS(Model!$AS$6:$AS$105,Model!$AT$6:$AT$105,"&gt;"&amp;EOMONTH(S$4-95,0),Model!$AT$6:$AT$105,"&lt;="&amp;S$4)-SUMIFS(Model!$BB$6:$BB$105,Model!$BC$6:$BC$105,"&gt;"&amp;EOMONTH(S$4-95,0),Model!$BC$6:$BC$105,"&lt;="&amp;S$4)-SUMIFS(Model!$BK$6:$BK$105,Model!$BL$6:$BL$105,"&gt;"&amp;EOMONTH(S$4-95,0),Model!$BL$6:$BL$105,"&lt;="&amp;S$4)-SUMIFS(Model!$BT$6:$BT$105,Model!$BU$6:$BU$105,"&gt;"&amp;EOMONTH(S$4-95,0),Model!$BU$6:$BU$105,"&lt;="&amp;S$4)-SUMIFS(Model!$CC$6:$CC$105,Model!$CD$6:$CD$105,"&gt;"&amp;EOMONTH(S$4-95,0),Model!$CD$6:$CD$105,"&lt;="&amp;S$4)-SUMIFS(Model!$CL$6:$CL$105,Model!$CM$6:$CM$105,"&gt;"&amp;EOMONTH(S$4-95,0),Model!$CM$6:$CM$105,"&lt;="&amp;S$4)-SUMIFS(Model!$CU$6:$CU$105,Model!$CV$6:$CV$105,"&gt;"&amp;EOMONTH(S$4-95,0),Model!$CV$6:$CV$105,"&lt;="&amp;S$4)</f>
        <v>0</v>
      </c>
      <c r="T11" s="151">
        <f>-SUMIFS(Model!$AA$6:$AA$105,Model!$AB$6:$AB$105,"&gt;"&amp;EOMONTH(T$4-95,0),Model!$AB$6:$AB$105,"&lt;="&amp;T$4)-SUMIFS(Model!$AJ$6:$AJ$105,Model!$AK$6:$AK$105,"&gt;"&amp;EOMONTH(T$4-95,0),Model!$AK$6:$AK$105,"&lt;="&amp;T$4)-SUMIFS(Model!$AS$6:$AS$105,Model!$AT$6:$AT$105,"&gt;"&amp;EOMONTH(T$4-95,0),Model!$AT$6:$AT$105,"&lt;="&amp;T$4)-SUMIFS(Model!$BB$6:$BB$105,Model!$BC$6:$BC$105,"&gt;"&amp;EOMONTH(T$4-95,0),Model!$BC$6:$BC$105,"&lt;="&amp;T$4)-SUMIFS(Model!$BK$6:$BK$105,Model!$BL$6:$BL$105,"&gt;"&amp;EOMONTH(T$4-95,0),Model!$BL$6:$BL$105,"&lt;="&amp;T$4)-SUMIFS(Model!$BT$6:$BT$105,Model!$BU$6:$BU$105,"&gt;"&amp;EOMONTH(T$4-95,0),Model!$BU$6:$BU$105,"&lt;="&amp;T$4)-SUMIFS(Model!$CC$6:$CC$105,Model!$CD$6:$CD$105,"&gt;"&amp;EOMONTH(T$4-95,0),Model!$CD$6:$CD$105,"&lt;="&amp;T$4)-SUMIFS(Model!$CL$6:$CL$105,Model!$CM$6:$CM$105,"&gt;"&amp;EOMONTH(T$4-95,0),Model!$CM$6:$CM$105,"&lt;="&amp;T$4)-SUMIFS(Model!$CU$6:$CU$105,Model!$CV$6:$CV$105,"&gt;"&amp;EOMONTH(T$4-95,0),Model!$CV$6:$CV$105,"&lt;="&amp;T$4)</f>
        <v>0</v>
      </c>
      <c r="U11" s="151">
        <f>-SUMIFS(Model!$AA$6:$AA$105,Model!$AB$6:$AB$105,"&gt;"&amp;EOMONTH(U$4-95,0),Model!$AB$6:$AB$105,"&lt;="&amp;U$4)-SUMIFS(Model!$AJ$6:$AJ$105,Model!$AK$6:$AK$105,"&gt;"&amp;EOMONTH(U$4-95,0),Model!$AK$6:$AK$105,"&lt;="&amp;U$4)-SUMIFS(Model!$AS$6:$AS$105,Model!$AT$6:$AT$105,"&gt;"&amp;EOMONTH(U$4-95,0),Model!$AT$6:$AT$105,"&lt;="&amp;U$4)-SUMIFS(Model!$BB$6:$BB$105,Model!$BC$6:$BC$105,"&gt;"&amp;EOMONTH(U$4-95,0),Model!$BC$6:$BC$105,"&lt;="&amp;U$4)-SUMIFS(Model!$BK$6:$BK$105,Model!$BL$6:$BL$105,"&gt;"&amp;EOMONTH(U$4-95,0),Model!$BL$6:$BL$105,"&lt;="&amp;U$4)-SUMIFS(Model!$BT$6:$BT$105,Model!$BU$6:$BU$105,"&gt;"&amp;EOMONTH(U$4-95,0),Model!$BU$6:$BU$105,"&lt;="&amp;U$4)-SUMIFS(Model!$CC$6:$CC$105,Model!$CD$6:$CD$105,"&gt;"&amp;EOMONTH(U$4-95,0),Model!$CD$6:$CD$105,"&lt;="&amp;U$4)-SUMIFS(Model!$CL$6:$CL$105,Model!$CM$6:$CM$105,"&gt;"&amp;EOMONTH(U$4-95,0),Model!$CM$6:$CM$105,"&lt;="&amp;U$4)-SUMIFS(Model!$CU$6:$CU$105,Model!$CV$6:$CV$105,"&gt;"&amp;EOMONTH(U$4-95,0),Model!$CV$6:$CV$105,"&lt;="&amp;U$4)</f>
        <v>0</v>
      </c>
      <c r="V11" s="151">
        <f>-SUMIFS(Model!$AA$6:$AA$105,Model!$AB$6:$AB$105,"&gt;"&amp;EOMONTH(V$4-95,0),Model!$AB$6:$AB$105,"&lt;="&amp;V$4)-SUMIFS(Model!$AJ$6:$AJ$105,Model!$AK$6:$AK$105,"&gt;"&amp;EOMONTH(V$4-95,0),Model!$AK$6:$AK$105,"&lt;="&amp;V$4)-SUMIFS(Model!$AS$6:$AS$105,Model!$AT$6:$AT$105,"&gt;"&amp;EOMONTH(V$4-95,0),Model!$AT$6:$AT$105,"&lt;="&amp;V$4)-SUMIFS(Model!$BB$6:$BB$105,Model!$BC$6:$BC$105,"&gt;"&amp;EOMONTH(V$4-95,0),Model!$BC$6:$BC$105,"&lt;="&amp;V$4)-SUMIFS(Model!$BK$6:$BK$105,Model!$BL$6:$BL$105,"&gt;"&amp;EOMONTH(V$4-95,0),Model!$BL$6:$BL$105,"&lt;="&amp;V$4)-SUMIFS(Model!$BT$6:$BT$105,Model!$BU$6:$BU$105,"&gt;"&amp;EOMONTH(V$4-95,0),Model!$BU$6:$BU$105,"&lt;="&amp;V$4)-SUMIFS(Model!$CC$6:$CC$105,Model!$CD$6:$CD$105,"&gt;"&amp;EOMONTH(V$4-95,0),Model!$CD$6:$CD$105,"&lt;="&amp;V$4)-SUMIFS(Model!$CL$6:$CL$105,Model!$CM$6:$CM$105,"&gt;"&amp;EOMONTH(V$4-95,0),Model!$CM$6:$CM$105,"&lt;="&amp;V$4)-SUMIFS(Model!$CU$6:$CU$105,Model!$CV$6:$CV$105,"&gt;"&amp;EOMONTH(V$4-95,0),Model!$CV$6:$CV$105,"&lt;="&amp;V$4)</f>
        <v>0</v>
      </c>
      <c r="W11" s="151">
        <f>-SUMIFS(Model!$AA$6:$AA$105,Model!$AB$6:$AB$105,"&gt;"&amp;EOMONTH(W$4-95,0),Model!$AB$6:$AB$105,"&lt;="&amp;W$4)-SUMIFS(Model!$AJ$6:$AJ$105,Model!$AK$6:$AK$105,"&gt;"&amp;EOMONTH(W$4-95,0),Model!$AK$6:$AK$105,"&lt;="&amp;W$4)-SUMIFS(Model!$AS$6:$AS$105,Model!$AT$6:$AT$105,"&gt;"&amp;EOMONTH(W$4-95,0),Model!$AT$6:$AT$105,"&lt;="&amp;W$4)-SUMIFS(Model!$BB$6:$BB$105,Model!$BC$6:$BC$105,"&gt;"&amp;EOMONTH(W$4-95,0),Model!$BC$6:$BC$105,"&lt;="&amp;W$4)-SUMIFS(Model!$BK$6:$BK$105,Model!$BL$6:$BL$105,"&gt;"&amp;EOMONTH(W$4-95,0),Model!$BL$6:$BL$105,"&lt;="&amp;W$4)-SUMIFS(Model!$BT$6:$BT$105,Model!$BU$6:$BU$105,"&gt;"&amp;EOMONTH(W$4-95,0),Model!$BU$6:$BU$105,"&lt;="&amp;W$4)-SUMIFS(Model!$CC$6:$CC$105,Model!$CD$6:$CD$105,"&gt;"&amp;EOMONTH(W$4-95,0),Model!$CD$6:$CD$105,"&lt;="&amp;W$4)-SUMIFS(Model!$CL$6:$CL$105,Model!$CM$6:$CM$105,"&gt;"&amp;EOMONTH(W$4-95,0),Model!$CM$6:$CM$105,"&lt;="&amp;W$4)-SUMIFS(Model!$CU$6:$CU$105,Model!$CV$6:$CV$105,"&gt;"&amp;EOMONTH(W$4-95,0),Model!$CV$6:$CV$105,"&lt;="&amp;W$4)</f>
        <v>0</v>
      </c>
      <c r="X11" s="151">
        <f>-SUMIFS(Model!$AA$6:$AA$105,Model!$AB$6:$AB$105,"&gt;"&amp;EOMONTH(X$4-95,0),Model!$AB$6:$AB$105,"&lt;="&amp;X$4)-SUMIFS(Model!$AJ$6:$AJ$105,Model!$AK$6:$AK$105,"&gt;"&amp;EOMONTH(X$4-95,0),Model!$AK$6:$AK$105,"&lt;="&amp;X$4)-SUMIFS(Model!$AS$6:$AS$105,Model!$AT$6:$AT$105,"&gt;"&amp;EOMONTH(X$4-95,0),Model!$AT$6:$AT$105,"&lt;="&amp;X$4)-SUMIFS(Model!$BB$6:$BB$105,Model!$BC$6:$BC$105,"&gt;"&amp;EOMONTH(X$4-95,0),Model!$BC$6:$BC$105,"&lt;="&amp;X$4)-SUMIFS(Model!$BK$6:$BK$105,Model!$BL$6:$BL$105,"&gt;"&amp;EOMONTH(X$4-95,0),Model!$BL$6:$BL$105,"&lt;="&amp;X$4)-SUMIFS(Model!$BT$6:$BT$105,Model!$BU$6:$BU$105,"&gt;"&amp;EOMONTH(X$4-95,0),Model!$BU$6:$BU$105,"&lt;="&amp;X$4)-SUMIFS(Model!$CC$6:$CC$105,Model!$CD$6:$CD$105,"&gt;"&amp;EOMONTH(X$4-95,0),Model!$CD$6:$CD$105,"&lt;="&amp;X$4)-SUMIFS(Model!$CL$6:$CL$105,Model!$CM$6:$CM$105,"&gt;"&amp;EOMONTH(X$4-95,0),Model!$CM$6:$CM$105,"&lt;="&amp;X$4)-SUMIFS(Model!$CU$6:$CU$105,Model!$CV$6:$CV$105,"&gt;"&amp;EOMONTH(X$4-95,0),Model!$CV$6:$CV$105,"&lt;="&amp;X$4)</f>
        <v>0</v>
      </c>
      <c r="Y11" s="151">
        <f>-SUMIFS(Model!$AA$6:$AA$105,Model!$AB$6:$AB$105,"&gt;"&amp;EOMONTH(Y$4-95,0),Model!$AB$6:$AB$105,"&lt;="&amp;Y$4)-SUMIFS(Model!$AJ$6:$AJ$105,Model!$AK$6:$AK$105,"&gt;"&amp;EOMONTH(Y$4-95,0),Model!$AK$6:$AK$105,"&lt;="&amp;Y$4)-SUMIFS(Model!$AS$6:$AS$105,Model!$AT$6:$AT$105,"&gt;"&amp;EOMONTH(Y$4-95,0),Model!$AT$6:$AT$105,"&lt;="&amp;Y$4)-SUMIFS(Model!$BB$6:$BB$105,Model!$BC$6:$BC$105,"&gt;"&amp;EOMONTH(Y$4-95,0),Model!$BC$6:$BC$105,"&lt;="&amp;Y$4)-SUMIFS(Model!$BK$6:$BK$105,Model!$BL$6:$BL$105,"&gt;"&amp;EOMONTH(Y$4-95,0),Model!$BL$6:$BL$105,"&lt;="&amp;Y$4)-SUMIFS(Model!$BT$6:$BT$105,Model!$BU$6:$BU$105,"&gt;"&amp;EOMONTH(Y$4-95,0),Model!$BU$6:$BU$105,"&lt;="&amp;Y$4)-SUMIFS(Model!$CC$6:$CC$105,Model!$CD$6:$CD$105,"&gt;"&amp;EOMONTH(Y$4-95,0),Model!$CD$6:$CD$105,"&lt;="&amp;Y$4)-SUMIFS(Model!$CL$6:$CL$105,Model!$CM$6:$CM$105,"&gt;"&amp;EOMONTH(Y$4-95,0),Model!$CM$6:$CM$105,"&lt;="&amp;Y$4)-SUMIFS(Model!$CU$6:$CU$105,Model!$CV$6:$CV$105,"&gt;"&amp;EOMONTH(Y$4-95,0),Model!$CV$6:$CV$105,"&lt;="&amp;Y$4)</f>
        <v>0</v>
      </c>
      <c r="Z11" s="151">
        <f>-SUMIFS(Model!$AA$6:$AA$105,Model!$AB$6:$AB$105,"&gt;"&amp;EOMONTH(Z$4-95,0),Model!$AB$6:$AB$105,"&lt;="&amp;Z$4)-SUMIFS(Model!$AJ$6:$AJ$105,Model!$AK$6:$AK$105,"&gt;"&amp;EOMONTH(Z$4-95,0),Model!$AK$6:$AK$105,"&lt;="&amp;Z$4)-SUMIFS(Model!$AS$6:$AS$105,Model!$AT$6:$AT$105,"&gt;"&amp;EOMONTH(Z$4-95,0),Model!$AT$6:$AT$105,"&lt;="&amp;Z$4)-SUMIFS(Model!$BB$6:$BB$105,Model!$BC$6:$BC$105,"&gt;"&amp;EOMONTH(Z$4-95,0),Model!$BC$6:$BC$105,"&lt;="&amp;Z$4)-SUMIFS(Model!$BK$6:$BK$105,Model!$BL$6:$BL$105,"&gt;"&amp;EOMONTH(Z$4-95,0),Model!$BL$6:$BL$105,"&lt;="&amp;Z$4)-SUMIFS(Model!$BT$6:$BT$105,Model!$BU$6:$BU$105,"&gt;"&amp;EOMONTH(Z$4-95,0),Model!$BU$6:$BU$105,"&lt;="&amp;Z$4)-SUMIFS(Model!$CC$6:$CC$105,Model!$CD$6:$CD$105,"&gt;"&amp;EOMONTH(Z$4-95,0),Model!$CD$6:$CD$105,"&lt;="&amp;Z$4)-SUMIFS(Model!$CL$6:$CL$105,Model!$CM$6:$CM$105,"&gt;"&amp;EOMONTH(Z$4-95,0),Model!$CM$6:$CM$105,"&lt;="&amp;Z$4)-SUMIFS(Model!$CU$6:$CU$105,Model!$CV$6:$CV$105,"&gt;"&amp;EOMONTH(Z$4-95,0),Model!$CV$6:$CV$105,"&lt;="&amp;Z$4)</f>
        <v>0</v>
      </c>
      <c r="AA11" s="151">
        <f>-SUMIFS(Model!$AA$6:$AA$105,Model!$AB$6:$AB$105,"&gt;"&amp;EOMONTH(AA$4-95,0),Model!$AB$6:$AB$105,"&lt;="&amp;AA$4)-SUMIFS(Model!$AJ$6:$AJ$105,Model!$AK$6:$AK$105,"&gt;"&amp;EOMONTH(AA$4-95,0),Model!$AK$6:$AK$105,"&lt;="&amp;AA$4)-SUMIFS(Model!$AS$6:$AS$105,Model!$AT$6:$AT$105,"&gt;"&amp;EOMONTH(AA$4-95,0),Model!$AT$6:$AT$105,"&lt;="&amp;AA$4)-SUMIFS(Model!$BB$6:$BB$105,Model!$BC$6:$BC$105,"&gt;"&amp;EOMONTH(AA$4-95,0),Model!$BC$6:$BC$105,"&lt;="&amp;AA$4)-SUMIFS(Model!$BK$6:$BK$105,Model!$BL$6:$BL$105,"&gt;"&amp;EOMONTH(AA$4-95,0),Model!$BL$6:$BL$105,"&lt;="&amp;AA$4)-SUMIFS(Model!$BT$6:$BT$105,Model!$BU$6:$BU$105,"&gt;"&amp;EOMONTH(AA$4-95,0),Model!$BU$6:$BU$105,"&lt;="&amp;AA$4)-SUMIFS(Model!$CC$6:$CC$105,Model!$CD$6:$CD$105,"&gt;"&amp;EOMONTH(AA$4-95,0),Model!$CD$6:$CD$105,"&lt;="&amp;AA$4)-SUMIFS(Model!$CL$6:$CL$105,Model!$CM$6:$CM$105,"&gt;"&amp;EOMONTH(AA$4-95,0),Model!$CM$6:$CM$105,"&lt;="&amp;AA$4)-SUMIFS(Model!$CU$6:$CU$105,Model!$CV$6:$CV$105,"&gt;"&amp;EOMONTH(AA$4-95,0),Model!$CV$6:$CV$105,"&lt;="&amp;AA$4)</f>
        <v>0</v>
      </c>
      <c r="AB11" s="151">
        <f>-SUMIFS(Model!$AA$6:$AA$105,Model!$AB$6:$AB$105,"&gt;"&amp;EOMONTH(AB$4-95,0),Model!$AB$6:$AB$105,"&lt;="&amp;AB$4)-SUMIFS(Model!$AJ$6:$AJ$105,Model!$AK$6:$AK$105,"&gt;"&amp;EOMONTH(AB$4-95,0),Model!$AK$6:$AK$105,"&lt;="&amp;AB$4)-SUMIFS(Model!$AS$6:$AS$105,Model!$AT$6:$AT$105,"&gt;"&amp;EOMONTH(AB$4-95,0),Model!$AT$6:$AT$105,"&lt;="&amp;AB$4)-SUMIFS(Model!$BB$6:$BB$105,Model!$BC$6:$BC$105,"&gt;"&amp;EOMONTH(AB$4-95,0),Model!$BC$6:$BC$105,"&lt;="&amp;AB$4)-SUMIFS(Model!$BK$6:$BK$105,Model!$BL$6:$BL$105,"&gt;"&amp;EOMONTH(AB$4-95,0),Model!$BL$6:$BL$105,"&lt;="&amp;AB$4)-SUMIFS(Model!$BT$6:$BT$105,Model!$BU$6:$BU$105,"&gt;"&amp;EOMONTH(AB$4-95,0),Model!$BU$6:$BU$105,"&lt;="&amp;AB$4)-SUMIFS(Model!$CC$6:$CC$105,Model!$CD$6:$CD$105,"&gt;"&amp;EOMONTH(AB$4-95,0),Model!$CD$6:$CD$105,"&lt;="&amp;AB$4)-SUMIFS(Model!$CL$6:$CL$105,Model!$CM$6:$CM$105,"&gt;"&amp;EOMONTH(AB$4-95,0),Model!$CM$6:$CM$105,"&lt;="&amp;AB$4)-SUMIFS(Model!$CU$6:$CU$105,Model!$CV$6:$CV$105,"&gt;"&amp;EOMONTH(AB$4-95,0),Model!$CV$6:$CV$105,"&lt;="&amp;AB$4)</f>
        <v>0</v>
      </c>
      <c r="AC11" s="151">
        <f>-SUMIFS(Model!$AA$6:$AA$105,Model!$AB$6:$AB$105,"&gt;"&amp;EOMONTH(AC$4-95,0),Model!$AB$6:$AB$105,"&lt;="&amp;AC$4)-SUMIFS(Model!$AJ$6:$AJ$105,Model!$AK$6:$AK$105,"&gt;"&amp;EOMONTH(AC$4-95,0),Model!$AK$6:$AK$105,"&lt;="&amp;AC$4)-SUMIFS(Model!$AS$6:$AS$105,Model!$AT$6:$AT$105,"&gt;"&amp;EOMONTH(AC$4-95,0),Model!$AT$6:$AT$105,"&lt;="&amp;AC$4)-SUMIFS(Model!$BB$6:$BB$105,Model!$BC$6:$BC$105,"&gt;"&amp;EOMONTH(AC$4-95,0),Model!$BC$6:$BC$105,"&lt;="&amp;AC$4)-SUMIFS(Model!$BK$6:$BK$105,Model!$BL$6:$BL$105,"&gt;"&amp;EOMONTH(AC$4-95,0),Model!$BL$6:$BL$105,"&lt;="&amp;AC$4)-SUMIFS(Model!$BT$6:$BT$105,Model!$BU$6:$BU$105,"&gt;"&amp;EOMONTH(AC$4-95,0),Model!$BU$6:$BU$105,"&lt;="&amp;AC$4)-SUMIFS(Model!$CC$6:$CC$105,Model!$CD$6:$CD$105,"&gt;"&amp;EOMONTH(AC$4-95,0),Model!$CD$6:$CD$105,"&lt;="&amp;AC$4)-SUMIFS(Model!$CL$6:$CL$105,Model!$CM$6:$CM$105,"&gt;"&amp;EOMONTH(AC$4-95,0),Model!$CM$6:$CM$105,"&lt;="&amp;AC$4)-SUMIFS(Model!$CU$6:$CU$105,Model!$CV$6:$CV$105,"&gt;"&amp;EOMONTH(AC$4-95,0),Model!$CV$6:$CV$105,"&lt;="&amp;AC$4)</f>
        <v>0</v>
      </c>
      <c r="AD11" s="151">
        <f>-SUMIFS(Model!$AA$6:$AA$105,Model!$AB$6:$AB$105,"&gt;"&amp;EOMONTH(AD$4-95,0),Model!$AB$6:$AB$105,"&lt;="&amp;AD$4)-SUMIFS(Model!$AJ$6:$AJ$105,Model!$AK$6:$AK$105,"&gt;"&amp;EOMONTH(AD$4-95,0),Model!$AK$6:$AK$105,"&lt;="&amp;AD$4)-SUMIFS(Model!$AS$6:$AS$105,Model!$AT$6:$AT$105,"&gt;"&amp;EOMONTH(AD$4-95,0),Model!$AT$6:$AT$105,"&lt;="&amp;AD$4)-SUMIFS(Model!$BB$6:$BB$105,Model!$BC$6:$BC$105,"&gt;"&amp;EOMONTH(AD$4-95,0),Model!$BC$6:$BC$105,"&lt;="&amp;AD$4)-SUMIFS(Model!$BK$6:$BK$105,Model!$BL$6:$BL$105,"&gt;"&amp;EOMONTH(AD$4-95,0),Model!$BL$6:$BL$105,"&lt;="&amp;AD$4)-SUMIFS(Model!$BT$6:$BT$105,Model!$BU$6:$BU$105,"&gt;"&amp;EOMONTH(AD$4-95,0),Model!$BU$6:$BU$105,"&lt;="&amp;AD$4)-SUMIFS(Model!$CC$6:$CC$105,Model!$CD$6:$CD$105,"&gt;"&amp;EOMONTH(AD$4-95,0),Model!$CD$6:$CD$105,"&lt;="&amp;AD$4)-SUMIFS(Model!$CL$6:$CL$105,Model!$CM$6:$CM$105,"&gt;"&amp;EOMONTH(AD$4-95,0),Model!$CM$6:$CM$105,"&lt;="&amp;AD$4)-SUMIFS(Model!$CU$6:$CU$105,Model!$CV$6:$CV$105,"&gt;"&amp;EOMONTH(AD$4-95,0),Model!$CV$6:$CV$105,"&lt;="&amp;AD$4)</f>
        <v>0</v>
      </c>
      <c r="AE11" s="151">
        <f>-SUMIFS(Model!$AA$6:$AA$105,Model!$AB$6:$AB$105,"&gt;"&amp;EOMONTH(AE$4-95,0),Model!$AB$6:$AB$105,"&lt;="&amp;AE$4)-SUMIFS(Model!$AJ$6:$AJ$105,Model!$AK$6:$AK$105,"&gt;"&amp;EOMONTH(AE$4-95,0),Model!$AK$6:$AK$105,"&lt;="&amp;AE$4)-SUMIFS(Model!$AS$6:$AS$105,Model!$AT$6:$AT$105,"&gt;"&amp;EOMONTH(AE$4-95,0),Model!$AT$6:$AT$105,"&lt;="&amp;AE$4)-SUMIFS(Model!$BB$6:$BB$105,Model!$BC$6:$BC$105,"&gt;"&amp;EOMONTH(AE$4-95,0),Model!$BC$6:$BC$105,"&lt;="&amp;AE$4)-SUMIFS(Model!$BK$6:$BK$105,Model!$BL$6:$BL$105,"&gt;"&amp;EOMONTH(AE$4-95,0),Model!$BL$6:$BL$105,"&lt;="&amp;AE$4)-SUMIFS(Model!$BT$6:$BT$105,Model!$BU$6:$BU$105,"&gt;"&amp;EOMONTH(AE$4-95,0),Model!$BU$6:$BU$105,"&lt;="&amp;AE$4)-SUMIFS(Model!$CC$6:$CC$105,Model!$CD$6:$CD$105,"&gt;"&amp;EOMONTH(AE$4-95,0),Model!$CD$6:$CD$105,"&lt;="&amp;AE$4)-SUMIFS(Model!$CL$6:$CL$105,Model!$CM$6:$CM$105,"&gt;"&amp;EOMONTH(AE$4-95,0),Model!$CM$6:$CM$105,"&lt;="&amp;AE$4)-SUMIFS(Model!$CU$6:$CU$105,Model!$CV$6:$CV$105,"&gt;"&amp;EOMONTH(AE$4-95,0),Model!$CV$6:$CV$105,"&lt;="&amp;AE$4)</f>
        <v>0</v>
      </c>
      <c r="AF11" s="151">
        <f>-SUMIFS(Model!$AA$6:$AA$105,Model!$AB$6:$AB$105,"&gt;"&amp;EOMONTH(AF$4-95,0),Model!$AB$6:$AB$105,"&lt;="&amp;AF$4)-SUMIFS(Model!$AJ$6:$AJ$105,Model!$AK$6:$AK$105,"&gt;"&amp;EOMONTH(AF$4-95,0),Model!$AK$6:$AK$105,"&lt;="&amp;AF$4)-SUMIFS(Model!$AS$6:$AS$105,Model!$AT$6:$AT$105,"&gt;"&amp;EOMONTH(AF$4-95,0),Model!$AT$6:$AT$105,"&lt;="&amp;AF$4)-SUMIFS(Model!$BB$6:$BB$105,Model!$BC$6:$BC$105,"&gt;"&amp;EOMONTH(AF$4-95,0),Model!$BC$6:$BC$105,"&lt;="&amp;AF$4)-SUMIFS(Model!$BK$6:$BK$105,Model!$BL$6:$BL$105,"&gt;"&amp;EOMONTH(AF$4-95,0),Model!$BL$6:$BL$105,"&lt;="&amp;AF$4)-SUMIFS(Model!$BT$6:$BT$105,Model!$BU$6:$BU$105,"&gt;"&amp;EOMONTH(AF$4-95,0),Model!$BU$6:$BU$105,"&lt;="&amp;AF$4)-SUMIFS(Model!$CC$6:$CC$105,Model!$CD$6:$CD$105,"&gt;"&amp;EOMONTH(AF$4-95,0),Model!$CD$6:$CD$105,"&lt;="&amp;AF$4)-SUMIFS(Model!$CL$6:$CL$105,Model!$CM$6:$CM$105,"&gt;"&amp;EOMONTH(AF$4-95,0),Model!$CM$6:$CM$105,"&lt;="&amp;AF$4)-SUMIFS(Model!$CU$6:$CU$105,Model!$CV$6:$CV$105,"&gt;"&amp;EOMONTH(AF$4-95,0),Model!$CV$6:$CV$105,"&lt;="&amp;AF$4)</f>
        <v>0</v>
      </c>
      <c r="AG11" s="151">
        <f>-SUMIFS(Model!$AA$6:$AA$105,Model!$AB$6:$AB$105,"&gt;"&amp;EOMONTH(AG$4-95,0),Model!$AB$6:$AB$105,"&lt;="&amp;AG$4)-SUMIFS(Model!$AJ$6:$AJ$105,Model!$AK$6:$AK$105,"&gt;"&amp;EOMONTH(AG$4-95,0),Model!$AK$6:$AK$105,"&lt;="&amp;AG$4)-SUMIFS(Model!$AS$6:$AS$105,Model!$AT$6:$AT$105,"&gt;"&amp;EOMONTH(AG$4-95,0),Model!$AT$6:$AT$105,"&lt;="&amp;AG$4)-SUMIFS(Model!$BB$6:$BB$105,Model!$BC$6:$BC$105,"&gt;"&amp;EOMONTH(AG$4-95,0),Model!$BC$6:$BC$105,"&lt;="&amp;AG$4)-SUMIFS(Model!$BK$6:$BK$105,Model!$BL$6:$BL$105,"&gt;"&amp;EOMONTH(AG$4-95,0),Model!$BL$6:$BL$105,"&lt;="&amp;AG$4)-SUMIFS(Model!$BT$6:$BT$105,Model!$BU$6:$BU$105,"&gt;"&amp;EOMONTH(AG$4-95,0),Model!$BU$6:$BU$105,"&lt;="&amp;AG$4)-SUMIFS(Model!$CC$6:$CC$105,Model!$CD$6:$CD$105,"&gt;"&amp;EOMONTH(AG$4-95,0),Model!$CD$6:$CD$105,"&lt;="&amp;AG$4)-SUMIFS(Model!$CL$6:$CL$105,Model!$CM$6:$CM$105,"&gt;"&amp;EOMONTH(AG$4-95,0),Model!$CM$6:$CM$105,"&lt;="&amp;AG$4)-SUMIFS(Model!$CU$6:$CU$105,Model!$CV$6:$CV$105,"&gt;"&amp;EOMONTH(AG$4-95,0),Model!$CV$6:$CV$105,"&lt;="&amp;AG$4)</f>
        <v>0</v>
      </c>
      <c r="AH11" s="151">
        <f>-SUMIFS(Model!$AA$6:$AA$105,Model!$AB$6:$AB$105,"&gt;"&amp;EOMONTH(AH$4-95,0),Model!$AB$6:$AB$105,"&lt;="&amp;AH$4)-SUMIFS(Model!$AJ$6:$AJ$105,Model!$AK$6:$AK$105,"&gt;"&amp;EOMONTH(AH$4-95,0),Model!$AK$6:$AK$105,"&lt;="&amp;AH$4)-SUMIFS(Model!$AS$6:$AS$105,Model!$AT$6:$AT$105,"&gt;"&amp;EOMONTH(AH$4-95,0),Model!$AT$6:$AT$105,"&lt;="&amp;AH$4)-SUMIFS(Model!$BB$6:$BB$105,Model!$BC$6:$BC$105,"&gt;"&amp;EOMONTH(AH$4-95,0),Model!$BC$6:$BC$105,"&lt;="&amp;AH$4)-SUMIFS(Model!$BK$6:$BK$105,Model!$BL$6:$BL$105,"&gt;"&amp;EOMONTH(AH$4-95,0),Model!$BL$6:$BL$105,"&lt;="&amp;AH$4)-SUMIFS(Model!$BT$6:$BT$105,Model!$BU$6:$BU$105,"&gt;"&amp;EOMONTH(AH$4-95,0),Model!$BU$6:$BU$105,"&lt;="&amp;AH$4)-SUMIFS(Model!$CC$6:$CC$105,Model!$CD$6:$CD$105,"&gt;"&amp;EOMONTH(AH$4-95,0),Model!$CD$6:$CD$105,"&lt;="&amp;AH$4)-SUMIFS(Model!$CL$6:$CL$105,Model!$CM$6:$CM$105,"&gt;"&amp;EOMONTH(AH$4-95,0),Model!$CM$6:$CM$105,"&lt;="&amp;AH$4)-SUMIFS(Model!$CU$6:$CU$105,Model!$CV$6:$CV$105,"&gt;"&amp;EOMONTH(AH$4-95,0),Model!$CV$6:$CV$105,"&lt;="&amp;AH$4)</f>
        <v>0</v>
      </c>
      <c r="AI11" s="151">
        <f>-SUMIFS(Model!$AA$6:$AA$105,Model!$AB$6:$AB$105,"&gt;"&amp;EOMONTH(AI$4-95,0),Model!$AB$6:$AB$105,"&lt;="&amp;AI$4)-SUMIFS(Model!$AJ$6:$AJ$105,Model!$AK$6:$AK$105,"&gt;"&amp;EOMONTH(AI$4-95,0),Model!$AK$6:$AK$105,"&lt;="&amp;AI$4)-SUMIFS(Model!$AS$6:$AS$105,Model!$AT$6:$AT$105,"&gt;"&amp;EOMONTH(AI$4-95,0),Model!$AT$6:$AT$105,"&lt;="&amp;AI$4)-SUMIFS(Model!$BB$6:$BB$105,Model!$BC$6:$BC$105,"&gt;"&amp;EOMONTH(AI$4-95,0),Model!$BC$6:$BC$105,"&lt;="&amp;AI$4)-SUMIFS(Model!$BK$6:$BK$105,Model!$BL$6:$BL$105,"&gt;"&amp;EOMONTH(AI$4-95,0),Model!$BL$6:$BL$105,"&lt;="&amp;AI$4)-SUMIFS(Model!$BT$6:$BT$105,Model!$BU$6:$BU$105,"&gt;"&amp;EOMONTH(AI$4-95,0),Model!$BU$6:$BU$105,"&lt;="&amp;AI$4)-SUMIFS(Model!$CC$6:$CC$105,Model!$CD$6:$CD$105,"&gt;"&amp;EOMONTH(AI$4-95,0),Model!$CD$6:$CD$105,"&lt;="&amp;AI$4)-SUMIFS(Model!$CL$6:$CL$105,Model!$CM$6:$CM$105,"&gt;"&amp;EOMONTH(AI$4-95,0),Model!$CM$6:$CM$105,"&lt;="&amp;AI$4)-SUMIFS(Model!$CU$6:$CU$105,Model!$CV$6:$CV$105,"&gt;"&amp;EOMONTH(AI$4-95,0),Model!$CV$6:$CV$105,"&lt;="&amp;AI$4)</f>
        <v>0</v>
      </c>
      <c r="AJ11" s="151">
        <f>-SUMIFS(Model!$AA$6:$AA$105,Model!$AB$6:$AB$105,"&gt;"&amp;EOMONTH(AJ$4-95,0),Model!$AB$6:$AB$105,"&lt;="&amp;AJ$4)-SUMIFS(Model!$AJ$6:$AJ$105,Model!$AK$6:$AK$105,"&gt;"&amp;EOMONTH(AJ$4-95,0),Model!$AK$6:$AK$105,"&lt;="&amp;AJ$4)-SUMIFS(Model!$AS$6:$AS$105,Model!$AT$6:$AT$105,"&gt;"&amp;EOMONTH(AJ$4-95,0),Model!$AT$6:$AT$105,"&lt;="&amp;AJ$4)-SUMIFS(Model!$BB$6:$BB$105,Model!$BC$6:$BC$105,"&gt;"&amp;EOMONTH(AJ$4-95,0),Model!$BC$6:$BC$105,"&lt;="&amp;AJ$4)-SUMIFS(Model!$BK$6:$BK$105,Model!$BL$6:$BL$105,"&gt;"&amp;EOMONTH(AJ$4-95,0),Model!$BL$6:$BL$105,"&lt;="&amp;AJ$4)-SUMIFS(Model!$BT$6:$BT$105,Model!$BU$6:$BU$105,"&gt;"&amp;EOMONTH(AJ$4-95,0),Model!$BU$6:$BU$105,"&lt;="&amp;AJ$4)-SUMIFS(Model!$CC$6:$CC$105,Model!$CD$6:$CD$105,"&gt;"&amp;EOMONTH(AJ$4-95,0),Model!$CD$6:$CD$105,"&lt;="&amp;AJ$4)-SUMIFS(Model!$CL$6:$CL$105,Model!$CM$6:$CM$105,"&gt;"&amp;EOMONTH(AJ$4-95,0),Model!$CM$6:$CM$105,"&lt;="&amp;AJ$4)-SUMIFS(Model!$CU$6:$CU$105,Model!$CV$6:$CV$105,"&gt;"&amp;EOMONTH(AJ$4-95,0),Model!$CV$6:$CV$105,"&lt;="&amp;AJ$4)</f>
        <v>0</v>
      </c>
      <c r="AK11" s="151">
        <f>-SUMIFS(Model!$AA$6:$AA$105,Model!$AB$6:$AB$105,"&gt;"&amp;EOMONTH(AK$4-95,0),Model!$AB$6:$AB$105,"&lt;="&amp;AK$4)-SUMIFS(Model!$AJ$6:$AJ$105,Model!$AK$6:$AK$105,"&gt;"&amp;EOMONTH(AK$4-95,0),Model!$AK$6:$AK$105,"&lt;="&amp;AK$4)-SUMIFS(Model!$AS$6:$AS$105,Model!$AT$6:$AT$105,"&gt;"&amp;EOMONTH(AK$4-95,0),Model!$AT$6:$AT$105,"&lt;="&amp;AK$4)-SUMIFS(Model!$BB$6:$BB$105,Model!$BC$6:$BC$105,"&gt;"&amp;EOMONTH(AK$4-95,0),Model!$BC$6:$BC$105,"&lt;="&amp;AK$4)-SUMIFS(Model!$BK$6:$BK$105,Model!$BL$6:$BL$105,"&gt;"&amp;EOMONTH(AK$4-95,0),Model!$BL$6:$BL$105,"&lt;="&amp;AK$4)-SUMIFS(Model!$BT$6:$BT$105,Model!$BU$6:$BU$105,"&gt;"&amp;EOMONTH(AK$4-95,0),Model!$BU$6:$BU$105,"&lt;="&amp;AK$4)-SUMIFS(Model!$CC$6:$CC$105,Model!$CD$6:$CD$105,"&gt;"&amp;EOMONTH(AK$4-95,0),Model!$CD$6:$CD$105,"&lt;="&amp;AK$4)-SUMIFS(Model!$CL$6:$CL$105,Model!$CM$6:$CM$105,"&gt;"&amp;EOMONTH(AK$4-95,0),Model!$CM$6:$CM$105,"&lt;="&amp;AK$4)-SUMIFS(Model!$CU$6:$CU$105,Model!$CV$6:$CV$105,"&gt;"&amp;EOMONTH(AK$4-95,0),Model!$CV$6:$CV$105,"&lt;="&amp;AK$4)</f>
        <v>0</v>
      </c>
      <c r="AL11" s="151">
        <f>-SUMIFS(Model!$AA$6:$AA$105,Model!$AB$6:$AB$105,"&gt;"&amp;EOMONTH(AL$4-95,0),Model!$AB$6:$AB$105,"&lt;="&amp;AL$4)-SUMIFS(Model!$AJ$6:$AJ$105,Model!$AK$6:$AK$105,"&gt;"&amp;EOMONTH(AL$4-95,0),Model!$AK$6:$AK$105,"&lt;="&amp;AL$4)-SUMIFS(Model!$AS$6:$AS$105,Model!$AT$6:$AT$105,"&gt;"&amp;EOMONTH(AL$4-95,0),Model!$AT$6:$AT$105,"&lt;="&amp;AL$4)-SUMIFS(Model!$BB$6:$BB$105,Model!$BC$6:$BC$105,"&gt;"&amp;EOMONTH(AL$4-95,0),Model!$BC$6:$BC$105,"&lt;="&amp;AL$4)-SUMIFS(Model!$BK$6:$BK$105,Model!$BL$6:$BL$105,"&gt;"&amp;EOMONTH(AL$4-95,0),Model!$BL$6:$BL$105,"&lt;="&amp;AL$4)-SUMIFS(Model!$BT$6:$BT$105,Model!$BU$6:$BU$105,"&gt;"&amp;EOMONTH(AL$4-95,0),Model!$BU$6:$BU$105,"&lt;="&amp;AL$4)-SUMIFS(Model!$CC$6:$CC$105,Model!$CD$6:$CD$105,"&gt;"&amp;EOMONTH(AL$4-95,0),Model!$CD$6:$CD$105,"&lt;="&amp;AL$4)-SUMIFS(Model!$CL$6:$CL$105,Model!$CM$6:$CM$105,"&gt;"&amp;EOMONTH(AL$4-95,0),Model!$CM$6:$CM$105,"&lt;="&amp;AL$4)-SUMIFS(Model!$CU$6:$CU$105,Model!$CV$6:$CV$105,"&gt;"&amp;EOMONTH(AL$4-95,0),Model!$CV$6:$CV$105,"&lt;="&amp;AL$4)</f>
        <v>0</v>
      </c>
      <c r="AM11" s="151">
        <f>-SUMIFS(Model!$AA$6:$AA$105,Model!$AB$6:$AB$105,"&gt;"&amp;EOMONTH(AM$4-95,0),Model!$AB$6:$AB$105,"&lt;="&amp;AM$4)-SUMIFS(Model!$AJ$6:$AJ$105,Model!$AK$6:$AK$105,"&gt;"&amp;EOMONTH(AM$4-95,0),Model!$AK$6:$AK$105,"&lt;="&amp;AM$4)-SUMIFS(Model!$AS$6:$AS$105,Model!$AT$6:$AT$105,"&gt;"&amp;EOMONTH(AM$4-95,0),Model!$AT$6:$AT$105,"&lt;="&amp;AM$4)-SUMIFS(Model!$BB$6:$BB$105,Model!$BC$6:$BC$105,"&gt;"&amp;EOMONTH(AM$4-95,0),Model!$BC$6:$BC$105,"&lt;="&amp;AM$4)-SUMIFS(Model!$BK$6:$BK$105,Model!$BL$6:$BL$105,"&gt;"&amp;EOMONTH(AM$4-95,0),Model!$BL$6:$BL$105,"&lt;="&amp;AM$4)-SUMIFS(Model!$BT$6:$BT$105,Model!$BU$6:$BU$105,"&gt;"&amp;EOMONTH(AM$4-95,0),Model!$BU$6:$BU$105,"&lt;="&amp;AM$4)-SUMIFS(Model!$CC$6:$CC$105,Model!$CD$6:$CD$105,"&gt;"&amp;EOMONTH(AM$4-95,0),Model!$CD$6:$CD$105,"&lt;="&amp;AM$4)-SUMIFS(Model!$CL$6:$CL$105,Model!$CM$6:$CM$105,"&gt;"&amp;EOMONTH(AM$4-95,0),Model!$CM$6:$CM$105,"&lt;="&amp;AM$4)-SUMIFS(Model!$CU$6:$CU$105,Model!$CV$6:$CV$105,"&gt;"&amp;EOMONTH(AM$4-95,0),Model!$CV$6:$CV$105,"&lt;="&amp;AM$4)</f>
        <v>0</v>
      </c>
      <c r="AN11" s="151">
        <f>-SUMIFS(Model!$AA$6:$AA$105,Model!$AB$6:$AB$105,"&gt;"&amp;EOMONTH(AN$4-95,0),Model!$AB$6:$AB$105,"&lt;="&amp;AN$4)-SUMIFS(Model!$AJ$6:$AJ$105,Model!$AK$6:$AK$105,"&gt;"&amp;EOMONTH(AN$4-95,0),Model!$AK$6:$AK$105,"&lt;="&amp;AN$4)-SUMIFS(Model!$AS$6:$AS$105,Model!$AT$6:$AT$105,"&gt;"&amp;EOMONTH(AN$4-95,0),Model!$AT$6:$AT$105,"&lt;="&amp;AN$4)-SUMIFS(Model!$BB$6:$BB$105,Model!$BC$6:$BC$105,"&gt;"&amp;EOMONTH(AN$4-95,0),Model!$BC$6:$BC$105,"&lt;="&amp;AN$4)-SUMIFS(Model!$BK$6:$BK$105,Model!$BL$6:$BL$105,"&gt;"&amp;EOMONTH(AN$4-95,0),Model!$BL$6:$BL$105,"&lt;="&amp;AN$4)-SUMIFS(Model!$BT$6:$BT$105,Model!$BU$6:$BU$105,"&gt;"&amp;EOMONTH(AN$4-95,0),Model!$BU$6:$BU$105,"&lt;="&amp;AN$4)-SUMIFS(Model!$CC$6:$CC$105,Model!$CD$6:$CD$105,"&gt;"&amp;EOMONTH(AN$4-95,0),Model!$CD$6:$CD$105,"&lt;="&amp;AN$4)-SUMIFS(Model!$CL$6:$CL$105,Model!$CM$6:$CM$105,"&gt;"&amp;EOMONTH(AN$4-95,0),Model!$CM$6:$CM$105,"&lt;="&amp;AN$4)-SUMIFS(Model!$CU$6:$CU$105,Model!$CV$6:$CV$105,"&gt;"&amp;EOMONTH(AN$4-95,0),Model!$CV$6:$CV$105,"&lt;="&amp;AN$4)</f>
        <v>0</v>
      </c>
      <c r="AO11" s="151">
        <f>-SUMIFS(Model!$AA$6:$AA$105,Model!$AB$6:$AB$105,"&gt;"&amp;EOMONTH(AO$4-95,0),Model!$AB$6:$AB$105,"&lt;="&amp;AO$4)-SUMIFS(Model!$AJ$6:$AJ$105,Model!$AK$6:$AK$105,"&gt;"&amp;EOMONTH(AO$4-95,0),Model!$AK$6:$AK$105,"&lt;="&amp;AO$4)-SUMIFS(Model!$AS$6:$AS$105,Model!$AT$6:$AT$105,"&gt;"&amp;EOMONTH(AO$4-95,0),Model!$AT$6:$AT$105,"&lt;="&amp;AO$4)-SUMIFS(Model!$BB$6:$BB$105,Model!$BC$6:$BC$105,"&gt;"&amp;EOMONTH(AO$4-95,0),Model!$BC$6:$BC$105,"&lt;="&amp;AO$4)-SUMIFS(Model!$BK$6:$BK$105,Model!$BL$6:$BL$105,"&gt;"&amp;EOMONTH(AO$4-95,0),Model!$BL$6:$BL$105,"&lt;="&amp;AO$4)-SUMIFS(Model!$BT$6:$BT$105,Model!$BU$6:$BU$105,"&gt;"&amp;EOMONTH(AO$4-95,0),Model!$BU$6:$BU$105,"&lt;="&amp;AO$4)-SUMIFS(Model!$CC$6:$CC$105,Model!$CD$6:$CD$105,"&gt;"&amp;EOMONTH(AO$4-95,0),Model!$CD$6:$CD$105,"&lt;="&amp;AO$4)-SUMIFS(Model!$CL$6:$CL$105,Model!$CM$6:$CM$105,"&gt;"&amp;EOMONTH(AO$4-95,0),Model!$CM$6:$CM$105,"&lt;="&amp;AO$4)-SUMIFS(Model!$CU$6:$CU$105,Model!$CV$6:$CV$105,"&gt;"&amp;EOMONTH(AO$4-95,0),Model!$CV$6:$CV$105,"&lt;="&amp;AO$4)</f>
        <v>0</v>
      </c>
      <c r="AP11" s="151">
        <f>-SUMIFS(Model!$AA$6:$AA$105,Model!$AB$6:$AB$105,"&gt;"&amp;EOMONTH(AP$4-95,0),Model!$AB$6:$AB$105,"&lt;="&amp;AP$4)-SUMIFS(Model!$AJ$6:$AJ$105,Model!$AK$6:$AK$105,"&gt;"&amp;EOMONTH(AP$4-95,0),Model!$AK$6:$AK$105,"&lt;="&amp;AP$4)-SUMIFS(Model!$AS$6:$AS$105,Model!$AT$6:$AT$105,"&gt;"&amp;EOMONTH(AP$4-95,0),Model!$AT$6:$AT$105,"&lt;="&amp;AP$4)-SUMIFS(Model!$BB$6:$BB$105,Model!$BC$6:$BC$105,"&gt;"&amp;EOMONTH(AP$4-95,0),Model!$BC$6:$BC$105,"&lt;="&amp;AP$4)-SUMIFS(Model!$BK$6:$BK$105,Model!$BL$6:$BL$105,"&gt;"&amp;EOMONTH(AP$4-95,0),Model!$BL$6:$BL$105,"&lt;="&amp;AP$4)-SUMIFS(Model!$BT$6:$BT$105,Model!$BU$6:$BU$105,"&gt;"&amp;EOMONTH(AP$4-95,0),Model!$BU$6:$BU$105,"&lt;="&amp;AP$4)-SUMIFS(Model!$CC$6:$CC$105,Model!$CD$6:$CD$105,"&gt;"&amp;EOMONTH(AP$4-95,0),Model!$CD$6:$CD$105,"&lt;="&amp;AP$4)-SUMIFS(Model!$CL$6:$CL$105,Model!$CM$6:$CM$105,"&gt;"&amp;EOMONTH(AP$4-95,0),Model!$CM$6:$CM$105,"&lt;="&amp;AP$4)-SUMIFS(Model!$CU$6:$CU$105,Model!$CV$6:$CV$105,"&gt;"&amp;EOMONTH(AP$4-95,0),Model!$CV$6:$CV$105,"&lt;="&amp;AP$4)</f>
        <v>0</v>
      </c>
      <c r="AQ11" s="151">
        <f>-SUMIFS(Model!$AA$6:$AA$105,Model!$AB$6:$AB$105,"&gt;"&amp;EOMONTH(AQ$4-95,0),Model!$AB$6:$AB$105,"&lt;="&amp;AQ$4)-SUMIFS(Model!$AJ$6:$AJ$105,Model!$AK$6:$AK$105,"&gt;"&amp;EOMONTH(AQ$4-95,0),Model!$AK$6:$AK$105,"&lt;="&amp;AQ$4)-SUMIFS(Model!$AS$6:$AS$105,Model!$AT$6:$AT$105,"&gt;"&amp;EOMONTH(AQ$4-95,0),Model!$AT$6:$AT$105,"&lt;="&amp;AQ$4)-SUMIFS(Model!$BB$6:$BB$105,Model!$BC$6:$BC$105,"&gt;"&amp;EOMONTH(AQ$4-95,0),Model!$BC$6:$BC$105,"&lt;="&amp;AQ$4)-SUMIFS(Model!$BK$6:$BK$105,Model!$BL$6:$BL$105,"&gt;"&amp;EOMONTH(AQ$4-95,0),Model!$BL$6:$BL$105,"&lt;="&amp;AQ$4)-SUMIFS(Model!$BT$6:$BT$105,Model!$BU$6:$BU$105,"&gt;"&amp;EOMONTH(AQ$4-95,0),Model!$BU$6:$BU$105,"&lt;="&amp;AQ$4)-SUMIFS(Model!$CC$6:$CC$105,Model!$CD$6:$CD$105,"&gt;"&amp;EOMONTH(AQ$4-95,0),Model!$CD$6:$CD$105,"&lt;="&amp;AQ$4)-SUMIFS(Model!$CL$6:$CL$105,Model!$CM$6:$CM$105,"&gt;"&amp;EOMONTH(AQ$4-95,0),Model!$CM$6:$CM$105,"&lt;="&amp;AQ$4)-SUMIFS(Model!$CU$6:$CU$105,Model!$CV$6:$CV$105,"&gt;"&amp;EOMONTH(AQ$4-95,0),Model!$CV$6:$CV$105,"&lt;="&amp;AQ$4)</f>
        <v>0</v>
      </c>
      <c r="AR11" s="151">
        <f>-SUMIFS(Model!$AA$6:$AA$105,Model!$AB$6:$AB$105,"&gt;"&amp;EOMONTH(AR$4-95,0),Model!$AB$6:$AB$105,"&lt;="&amp;AR$4)-SUMIFS(Model!$AJ$6:$AJ$105,Model!$AK$6:$AK$105,"&gt;"&amp;EOMONTH(AR$4-95,0),Model!$AK$6:$AK$105,"&lt;="&amp;AR$4)-SUMIFS(Model!$AS$6:$AS$105,Model!$AT$6:$AT$105,"&gt;"&amp;EOMONTH(AR$4-95,0),Model!$AT$6:$AT$105,"&lt;="&amp;AR$4)-SUMIFS(Model!$BB$6:$BB$105,Model!$BC$6:$BC$105,"&gt;"&amp;EOMONTH(AR$4-95,0),Model!$BC$6:$BC$105,"&lt;="&amp;AR$4)-SUMIFS(Model!$BK$6:$BK$105,Model!$BL$6:$BL$105,"&gt;"&amp;EOMONTH(AR$4-95,0),Model!$BL$6:$BL$105,"&lt;="&amp;AR$4)-SUMIFS(Model!$BT$6:$BT$105,Model!$BU$6:$BU$105,"&gt;"&amp;EOMONTH(AR$4-95,0),Model!$BU$6:$BU$105,"&lt;="&amp;AR$4)-SUMIFS(Model!$CC$6:$CC$105,Model!$CD$6:$CD$105,"&gt;"&amp;EOMONTH(AR$4-95,0),Model!$CD$6:$CD$105,"&lt;="&amp;AR$4)-SUMIFS(Model!$CL$6:$CL$105,Model!$CM$6:$CM$105,"&gt;"&amp;EOMONTH(AR$4-95,0),Model!$CM$6:$CM$105,"&lt;="&amp;AR$4)-SUMIFS(Model!$CU$6:$CU$105,Model!$CV$6:$CV$105,"&gt;"&amp;EOMONTH(AR$4-95,0),Model!$CV$6:$CV$105,"&lt;="&amp;AR$4)</f>
        <v>0</v>
      </c>
      <c r="AS11" s="151">
        <f>-SUMIFS(Model!$AA$6:$AA$105,Model!$AB$6:$AB$105,"&gt;"&amp;EOMONTH(AS$4-95,0),Model!$AB$6:$AB$105,"&lt;="&amp;AS$4)-SUMIFS(Model!$AJ$6:$AJ$105,Model!$AK$6:$AK$105,"&gt;"&amp;EOMONTH(AS$4-95,0),Model!$AK$6:$AK$105,"&lt;="&amp;AS$4)-SUMIFS(Model!$AS$6:$AS$105,Model!$AT$6:$AT$105,"&gt;"&amp;EOMONTH(AS$4-95,0),Model!$AT$6:$AT$105,"&lt;="&amp;AS$4)-SUMIFS(Model!$BB$6:$BB$105,Model!$BC$6:$BC$105,"&gt;"&amp;EOMONTH(AS$4-95,0),Model!$BC$6:$BC$105,"&lt;="&amp;AS$4)-SUMIFS(Model!$BK$6:$BK$105,Model!$BL$6:$BL$105,"&gt;"&amp;EOMONTH(AS$4-95,0),Model!$BL$6:$BL$105,"&lt;="&amp;AS$4)-SUMIFS(Model!$BT$6:$BT$105,Model!$BU$6:$BU$105,"&gt;"&amp;EOMONTH(AS$4-95,0),Model!$BU$6:$BU$105,"&lt;="&amp;AS$4)-SUMIFS(Model!$CC$6:$CC$105,Model!$CD$6:$CD$105,"&gt;"&amp;EOMONTH(AS$4-95,0),Model!$CD$6:$CD$105,"&lt;="&amp;AS$4)-SUMIFS(Model!$CL$6:$CL$105,Model!$CM$6:$CM$105,"&gt;"&amp;EOMONTH(AS$4-95,0),Model!$CM$6:$CM$105,"&lt;="&amp;AS$4)-SUMIFS(Model!$CU$6:$CU$105,Model!$CV$6:$CV$105,"&gt;"&amp;EOMONTH(AS$4-95,0),Model!$CV$6:$CV$105,"&lt;="&amp;AS$4)</f>
        <v>0</v>
      </c>
      <c r="AT11" s="151">
        <f>-SUMIFS(Model!$AA$6:$AA$105,Model!$AB$6:$AB$105,"&gt;"&amp;EOMONTH(AT$4-95,0),Model!$AB$6:$AB$105,"&lt;="&amp;AT$4)-SUMIFS(Model!$AJ$6:$AJ$105,Model!$AK$6:$AK$105,"&gt;"&amp;EOMONTH(AT$4-95,0),Model!$AK$6:$AK$105,"&lt;="&amp;AT$4)-SUMIFS(Model!$AS$6:$AS$105,Model!$AT$6:$AT$105,"&gt;"&amp;EOMONTH(AT$4-95,0),Model!$AT$6:$AT$105,"&lt;="&amp;AT$4)-SUMIFS(Model!$BB$6:$BB$105,Model!$BC$6:$BC$105,"&gt;"&amp;EOMONTH(AT$4-95,0),Model!$BC$6:$BC$105,"&lt;="&amp;AT$4)-SUMIFS(Model!$BK$6:$BK$105,Model!$BL$6:$BL$105,"&gt;"&amp;EOMONTH(AT$4-95,0),Model!$BL$6:$BL$105,"&lt;="&amp;AT$4)-SUMIFS(Model!$BT$6:$BT$105,Model!$BU$6:$BU$105,"&gt;"&amp;EOMONTH(AT$4-95,0),Model!$BU$6:$BU$105,"&lt;="&amp;AT$4)-SUMIFS(Model!$CC$6:$CC$105,Model!$CD$6:$CD$105,"&gt;"&amp;EOMONTH(AT$4-95,0),Model!$CD$6:$CD$105,"&lt;="&amp;AT$4)-SUMIFS(Model!$CL$6:$CL$105,Model!$CM$6:$CM$105,"&gt;"&amp;EOMONTH(AT$4-95,0),Model!$CM$6:$CM$105,"&lt;="&amp;AT$4)-SUMIFS(Model!$CU$6:$CU$105,Model!$CV$6:$CV$105,"&gt;"&amp;EOMONTH(AT$4-95,0),Model!$CV$6:$CV$105,"&lt;="&amp;AT$4)</f>
        <v>0</v>
      </c>
      <c r="AU11" s="151">
        <f>-SUMIFS(Model!$AA$6:$AA$105,Model!$AB$6:$AB$105,"&gt;"&amp;EOMONTH(AU$4-95,0),Model!$AB$6:$AB$105,"&lt;="&amp;AU$4)-SUMIFS(Model!$AJ$6:$AJ$105,Model!$AK$6:$AK$105,"&gt;"&amp;EOMONTH(AU$4-95,0),Model!$AK$6:$AK$105,"&lt;="&amp;AU$4)-SUMIFS(Model!$AS$6:$AS$105,Model!$AT$6:$AT$105,"&gt;"&amp;EOMONTH(AU$4-95,0),Model!$AT$6:$AT$105,"&lt;="&amp;AU$4)-SUMIFS(Model!$BB$6:$BB$105,Model!$BC$6:$BC$105,"&gt;"&amp;EOMONTH(AU$4-95,0),Model!$BC$6:$BC$105,"&lt;="&amp;AU$4)-SUMIFS(Model!$BK$6:$BK$105,Model!$BL$6:$BL$105,"&gt;"&amp;EOMONTH(AU$4-95,0),Model!$BL$6:$BL$105,"&lt;="&amp;AU$4)-SUMIFS(Model!$BT$6:$BT$105,Model!$BU$6:$BU$105,"&gt;"&amp;EOMONTH(AU$4-95,0),Model!$BU$6:$BU$105,"&lt;="&amp;AU$4)-SUMIFS(Model!$CC$6:$CC$105,Model!$CD$6:$CD$105,"&gt;"&amp;EOMONTH(AU$4-95,0),Model!$CD$6:$CD$105,"&lt;="&amp;AU$4)-SUMIFS(Model!$CL$6:$CL$105,Model!$CM$6:$CM$105,"&gt;"&amp;EOMONTH(AU$4-95,0),Model!$CM$6:$CM$105,"&lt;="&amp;AU$4)-SUMIFS(Model!$CU$6:$CU$105,Model!$CV$6:$CV$105,"&gt;"&amp;EOMONTH(AU$4-95,0),Model!$CV$6:$CV$105,"&lt;="&amp;AU$4)</f>
        <v>0</v>
      </c>
      <c r="AV11" s="151">
        <f>-SUMIFS(Model!$AA$6:$AA$105,Model!$AB$6:$AB$105,"&gt;"&amp;EOMONTH(AV$4-95,0),Model!$AB$6:$AB$105,"&lt;="&amp;AV$4)-SUMIFS(Model!$AJ$6:$AJ$105,Model!$AK$6:$AK$105,"&gt;"&amp;EOMONTH(AV$4-95,0),Model!$AK$6:$AK$105,"&lt;="&amp;AV$4)-SUMIFS(Model!$AS$6:$AS$105,Model!$AT$6:$AT$105,"&gt;"&amp;EOMONTH(AV$4-95,0),Model!$AT$6:$AT$105,"&lt;="&amp;AV$4)-SUMIFS(Model!$BB$6:$BB$105,Model!$BC$6:$BC$105,"&gt;"&amp;EOMONTH(AV$4-95,0),Model!$BC$6:$BC$105,"&lt;="&amp;AV$4)-SUMIFS(Model!$BK$6:$BK$105,Model!$BL$6:$BL$105,"&gt;"&amp;EOMONTH(AV$4-95,0),Model!$BL$6:$BL$105,"&lt;="&amp;AV$4)-SUMIFS(Model!$BT$6:$BT$105,Model!$BU$6:$BU$105,"&gt;"&amp;EOMONTH(AV$4-95,0),Model!$BU$6:$BU$105,"&lt;="&amp;AV$4)-SUMIFS(Model!$CC$6:$CC$105,Model!$CD$6:$CD$105,"&gt;"&amp;EOMONTH(AV$4-95,0),Model!$CD$6:$CD$105,"&lt;="&amp;AV$4)-SUMIFS(Model!$CL$6:$CL$105,Model!$CM$6:$CM$105,"&gt;"&amp;EOMONTH(AV$4-95,0),Model!$CM$6:$CM$105,"&lt;="&amp;AV$4)-SUMIFS(Model!$CU$6:$CU$105,Model!$CV$6:$CV$105,"&gt;"&amp;EOMONTH(AV$4-95,0),Model!$CV$6:$CV$105,"&lt;="&amp;AV$4)</f>
        <v>0</v>
      </c>
      <c r="AW11" s="151">
        <f>-SUMIFS(Model!$AA$6:$AA$105,Model!$AB$6:$AB$105,"&gt;"&amp;EOMONTH(AW$4-95,0),Model!$AB$6:$AB$105,"&lt;="&amp;AW$4)-SUMIFS(Model!$AJ$6:$AJ$105,Model!$AK$6:$AK$105,"&gt;"&amp;EOMONTH(AW$4-95,0),Model!$AK$6:$AK$105,"&lt;="&amp;AW$4)-SUMIFS(Model!$AS$6:$AS$105,Model!$AT$6:$AT$105,"&gt;"&amp;EOMONTH(AW$4-95,0),Model!$AT$6:$AT$105,"&lt;="&amp;AW$4)-SUMIFS(Model!$BB$6:$BB$105,Model!$BC$6:$BC$105,"&gt;"&amp;EOMONTH(AW$4-95,0),Model!$BC$6:$BC$105,"&lt;="&amp;AW$4)-SUMIFS(Model!$BK$6:$BK$105,Model!$BL$6:$BL$105,"&gt;"&amp;EOMONTH(AW$4-95,0),Model!$BL$6:$BL$105,"&lt;="&amp;AW$4)-SUMIFS(Model!$BT$6:$BT$105,Model!$BU$6:$BU$105,"&gt;"&amp;EOMONTH(AW$4-95,0),Model!$BU$6:$BU$105,"&lt;="&amp;AW$4)-SUMIFS(Model!$CC$6:$CC$105,Model!$CD$6:$CD$105,"&gt;"&amp;EOMONTH(AW$4-95,0),Model!$CD$6:$CD$105,"&lt;="&amp;AW$4)-SUMIFS(Model!$CL$6:$CL$105,Model!$CM$6:$CM$105,"&gt;"&amp;EOMONTH(AW$4-95,0),Model!$CM$6:$CM$105,"&lt;="&amp;AW$4)-SUMIFS(Model!$CU$6:$CU$105,Model!$CV$6:$CV$105,"&gt;"&amp;EOMONTH(AW$4-95,0),Model!$CV$6:$CV$105,"&lt;="&amp;AW$4)</f>
        <v>0</v>
      </c>
      <c r="AX11" s="151">
        <f>-SUMIFS(Model!$AA$6:$AA$105,Model!$AB$6:$AB$105,"&gt;"&amp;EOMONTH(AX$4-95,0),Model!$AB$6:$AB$105,"&lt;="&amp;AX$4)-SUMIFS(Model!$AJ$6:$AJ$105,Model!$AK$6:$AK$105,"&gt;"&amp;EOMONTH(AX$4-95,0),Model!$AK$6:$AK$105,"&lt;="&amp;AX$4)-SUMIFS(Model!$AS$6:$AS$105,Model!$AT$6:$AT$105,"&gt;"&amp;EOMONTH(AX$4-95,0),Model!$AT$6:$AT$105,"&lt;="&amp;AX$4)-SUMIFS(Model!$BB$6:$BB$105,Model!$BC$6:$BC$105,"&gt;"&amp;EOMONTH(AX$4-95,0),Model!$BC$6:$BC$105,"&lt;="&amp;AX$4)-SUMIFS(Model!$BK$6:$BK$105,Model!$BL$6:$BL$105,"&gt;"&amp;EOMONTH(AX$4-95,0),Model!$BL$6:$BL$105,"&lt;="&amp;AX$4)-SUMIFS(Model!$BT$6:$BT$105,Model!$BU$6:$BU$105,"&gt;"&amp;EOMONTH(AX$4-95,0),Model!$BU$6:$BU$105,"&lt;="&amp;AX$4)-SUMIFS(Model!$CC$6:$CC$105,Model!$CD$6:$CD$105,"&gt;"&amp;EOMONTH(AX$4-95,0),Model!$CD$6:$CD$105,"&lt;="&amp;AX$4)-SUMIFS(Model!$CL$6:$CL$105,Model!$CM$6:$CM$105,"&gt;"&amp;EOMONTH(AX$4-95,0),Model!$CM$6:$CM$105,"&lt;="&amp;AX$4)-SUMIFS(Model!$CU$6:$CU$105,Model!$CV$6:$CV$105,"&gt;"&amp;EOMONTH(AX$4-95,0),Model!$CV$6:$CV$105,"&lt;="&amp;AX$4)</f>
        <v>0</v>
      </c>
      <c r="AY11" s="151">
        <f>-SUMIFS(Model!$AA$6:$AA$105,Model!$AB$6:$AB$105,"&gt;"&amp;EOMONTH(AY$4-95,0),Model!$AB$6:$AB$105,"&lt;="&amp;AY$4)-SUMIFS(Model!$AJ$6:$AJ$105,Model!$AK$6:$AK$105,"&gt;"&amp;EOMONTH(AY$4-95,0),Model!$AK$6:$AK$105,"&lt;="&amp;AY$4)-SUMIFS(Model!$AS$6:$AS$105,Model!$AT$6:$AT$105,"&gt;"&amp;EOMONTH(AY$4-95,0),Model!$AT$6:$AT$105,"&lt;="&amp;AY$4)-SUMIFS(Model!$BB$6:$BB$105,Model!$BC$6:$BC$105,"&gt;"&amp;EOMONTH(AY$4-95,0),Model!$BC$6:$BC$105,"&lt;="&amp;AY$4)-SUMIFS(Model!$BK$6:$BK$105,Model!$BL$6:$BL$105,"&gt;"&amp;EOMONTH(AY$4-95,0),Model!$BL$6:$BL$105,"&lt;="&amp;AY$4)-SUMIFS(Model!$BT$6:$BT$105,Model!$BU$6:$BU$105,"&gt;"&amp;EOMONTH(AY$4-95,0),Model!$BU$6:$BU$105,"&lt;="&amp;AY$4)-SUMIFS(Model!$CC$6:$CC$105,Model!$CD$6:$CD$105,"&gt;"&amp;EOMONTH(AY$4-95,0),Model!$CD$6:$CD$105,"&lt;="&amp;AY$4)-SUMIFS(Model!$CL$6:$CL$105,Model!$CM$6:$CM$105,"&gt;"&amp;EOMONTH(AY$4-95,0),Model!$CM$6:$CM$105,"&lt;="&amp;AY$4)-SUMIFS(Model!$CU$6:$CU$105,Model!$CV$6:$CV$105,"&gt;"&amp;EOMONTH(AY$4-95,0),Model!$CV$6:$CV$105,"&lt;="&amp;AY$4)</f>
        <v>0</v>
      </c>
      <c r="AZ11" s="151">
        <f>-SUMIFS(Model!$AA$6:$AA$105,Model!$AB$6:$AB$105,"&gt;"&amp;EOMONTH(AZ$4-95,0),Model!$AB$6:$AB$105,"&lt;="&amp;AZ$4)-SUMIFS(Model!$AJ$6:$AJ$105,Model!$AK$6:$AK$105,"&gt;"&amp;EOMONTH(AZ$4-95,0),Model!$AK$6:$AK$105,"&lt;="&amp;AZ$4)-SUMIFS(Model!$AS$6:$AS$105,Model!$AT$6:$AT$105,"&gt;"&amp;EOMONTH(AZ$4-95,0),Model!$AT$6:$AT$105,"&lt;="&amp;AZ$4)-SUMIFS(Model!$BB$6:$BB$105,Model!$BC$6:$BC$105,"&gt;"&amp;EOMONTH(AZ$4-95,0),Model!$BC$6:$BC$105,"&lt;="&amp;AZ$4)-SUMIFS(Model!$BK$6:$BK$105,Model!$BL$6:$BL$105,"&gt;"&amp;EOMONTH(AZ$4-95,0),Model!$BL$6:$BL$105,"&lt;="&amp;AZ$4)-SUMIFS(Model!$BT$6:$BT$105,Model!$BU$6:$BU$105,"&gt;"&amp;EOMONTH(AZ$4-95,0),Model!$BU$6:$BU$105,"&lt;="&amp;AZ$4)-SUMIFS(Model!$CC$6:$CC$105,Model!$CD$6:$CD$105,"&gt;"&amp;EOMONTH(AZ$4-95,0),Model!$CD$6:$CD$105,"&lt;="&amp;AZ$4)-SUMIFS(Model!$CL$6:$CL$105,Model!$CM$6:$CM$105,"&gt;"&amp;EOMONTH(AZ$4-95,0),Model!$CM$6:$CM$105,"&lt;="&amp;AZ$4)-SUMIFS(Model!$CU$6:$CU$105,Model!$CV$6:$CV$105,"&gt;"&amp;EOMONTH(AZ$4-95,0),Model!$CV$6:$CV$105,"&lt;="&amp;AZ$4)</f>
        <v>0</v>
      </c>
      <c r="BA11" s="151">
        <f>-SUMIFS(Model!$AA$6:$AA$105,Model!$AB$6:$AB$105,"&gt;"&amp;EOMONTH(BA$4-95,0),Model!$AB$6:$AB$105,"&lt;="&amp;BA$4)-SUMIFS(Model!$AJ$6:$AJ$105,Model!$AK$6:$AK$105,"&gt;"&amp;EOMONTH(BA$4-95,0),Model!$AK$6:$AK$105,"&lt;="&amp;BA$4)-SUMIFS(Model!$AS$6:$AS$105,Model!$AT$6:$AT$105,"&gt;"&amp;EOMONTH(BA$4-95,0),Model!$AT$6:$AT$105,"&lt;="&amp;BA$4)-SUMIFS(Model!$BB$6:$BB$105,Model!$BC$6:$BC$105,"&gt;"&amp;EOMONTH(BA$4-95,0),Model!$BC$6:$BC$105,"&lt;="&amp;BA$4)-SUMIFS(Model!$BK$6:$BK$105,Model!$BL$6:$BL$105,"&gt;"&amp;EOMONTH(BA$4-95,0),Model!$BL$6:$BL$105,"&lt;="&amp;BA$4)-SUMIFS(Model!$BT$6:$BT$105,Model!$BU$6:$BU$105,"&gt;"&amp;EOMONTH(BA$4-95,0),Model!$BU$6:$BU$105,"&lt;="&amp;BA$4)-SUMIFS(Model!$CC$6:$CC$105,Model!$CD$6:$CD$105,"&gt;"&amp;EOMONTH(BA$4-95,0),Model!$CD$6:$CD$105,"&lt;="&amp;BA$4)-SUMIFS(Model!$CL$6:$CL$105,Model!$CM$6:$CM$105,"&gt;"&amp;EOMONTH(BA$4-95,0),Model!$CM$6:$CM$105,"&lt;="&amp;BA$4)-SUMIFS(Model!$CU$6:$CU$105,Model!$CV$6:$CV$105,"&gt;"&amp;EOMONTH(BA$4-95,0),Model!$CV$6:$CV$105,"&lt;="&amp;BA$4)</f>
        <v>0</v>
      </c>
      <c r="BB11" s="151">
        <f>-SUMIFS(Model!$AA$6:$AA$105,Model!$AB$6:$AB$105,"&gt;"&amp;EOMONTH(BB$4-95,0),Model!$AB$6:$AB$105,"&lt;="&amp;BB$4)-SUMIFS(Model!$AJ$6:$AJ$105,Model!$AK$6:$AK$105,"&gt;"&amp;EOMONTH(BB$4-95,0),Model!$AK$6:$AK$105,"&lt;="&amp;BB$4)-SUMIFS(Model!$AS$6:$AS$105,Model!$AT$6:$AT$105,"&gt;"&amp;EOMONTH(BB$4-95,0),Model!$AT$6:$AT$105,"&lt;="&amp;BB$4)-SUMIFS(Model!$BB$6:$BB$105,Model!$BC$6:$BC$105,"&gt;"&amp;EOMONTH(BB$4-95,0),Model!$BC$6:$BC$105,"&lt;="&amp;BB$4)-SUMIFS(Model!$BK$6:$BK$105,Model!$BL$6:$BL$105,"&gt;"&amp;EOMONTH(BB$4-95,0),Model!$BL$6:$BL$105,"&lt;="&amp;BB$4)-SUMIFS(Model!$BT$6:$BT$105,Model!$BU$6:$BU$105,"&gt;"&amp;EOMONTH(BB$4-95,0),Model!$BU$6:$BU$105,"&lt;="&amp;BB$4)-SUMIFS(Model!$CC$6:$CC$105,Model!$CD$6:$CD$105,"&gt;"&amp;EOMONTH(BB$4-95,0),Model!$CD$6:$CD$105,"&lt;="&amp;BB$4)-SUMIFS(Model!$CL$6:$CL$105,Model!$CM$6:$CM$105,"&gt;"&amp;EOMONTH(BB$4-95,0),Model!$CM$6:$CM$105,"&lt;="&amp;BB$4)-SUMIFS(Model!$CU$6:$CU$105,Model!$CV$6:$CV$105,"&gt;"&amp;EOMONTH(BB$4-95,0),Model!$CV$6:$CV$105,"&lt;="&amp;BB$4)</f>
        <v>0</v>
      </c>
      <c r="BC11" s="151">
        <f>-SUMIFS(Model!$AA$6:$AA$105,Model!$AB$6:$AB$105,"&gt;"&amp;EOMONTH(BC$4-95,0),Model!$AB$6:$AB$105,"&lt;="&amp;BC$4)-SUMIFS(Model!$AJ$6:$AJ$105,Model!$AK$6:$AK$105,"&gt;"&amp;EOMONTH(BC$4-95,0),Model!$AK$6:$AK$105,"&lt;="&amp;BC$4)-SUMIFS(Model!$AS$6:$AS$105,Model!$AT$6:$AT$105,"&gt;"&amp;EOMONTH(BC$4-95,0),Model!$AT$6:$AT$105,"&lt;="&amp;BC$4)-SUMIFS(Model!$BB$6:$BB$105,Model!$BC$6:$BC$105,"&gt;"&amp;EOMONTH(BC$4-95,0),Model!$BC$6:$BC$105,"&lt;="&amp;BC$4)-SUMIFS(Model!$BK$6:$BK$105,Model!$BL$6:$BL$105,"&gt;"&amp;EOMONTH(BC$4-95,0),Model!$BL$6:$BL$105,"&lt;="&amp;BC$4)-SUMIFS(Model!$BT$6:$BT$105,Model!$BU$6:$BU$105,"&gt;"&amp;EOMONTH(BC$4-95,0),Model!$BU$6:$BU$105,"&lt;="&amp;BC$4)-SUMIFS(Model!$CC$6:$CC$105,Model!$CD$6:$CD$105,"&gt;"&amp;EOMONTH(BC$4-95,0),Model!$CD$6:$CD$105,"&lt;="&amp;BC$4)-SUMIFS(Model!$CL$6:$CL$105,Model!$CM$6:$CM$105,"&gt;"&amp;EOMONTH(BC$4-95,0),Model!$CM$6:$CM$105,"&lt;="&amp;BC$4)-SUMIFS(Model!$CU$6:$CU$105,Model!$CV$6:$CV$105,"&gt;"&amp;EOMONTH(BC$4-95,0),Model!$CV$6:$CV$105,"&lt;="&amp;BC$4)</f>
        <v>0</v>
      </c>
      <c r="BD11" s="151">
        <f>-SUMIFS(Model!$AA$6:$AA$105,Model!$AB$6:$AB$105,"&gt;"&amp;EOMONTH(BD$4-95,0),Model!$AB$6:$AB$105,"&lt;="&amp;BD$4)-SUMIFS(Model!$AJ$6:$AJ$105,Model!$AK$6:$AK$105,"&gt;"&amp;EOMONTH(BD$4-95,0),Model!$AK$6:$AK$105,"&lt;="&amp;BD$4)-SUMIFS(Model!$AS$6:$AS$105,Model!$AT$6:$AT$105,"&gt;"&amp;EOMONTH(BD$4-95,0),Model!$AT$6:$AT$105,"&lt;="&amp;BD$4)-SUMIFS(Model!$BB$6:$BB$105,Model!$BC$6:$BC$105,"&gt;"&amp;EOMONTH(BD$4-95,0),Model!$BC$6:$BC$105,"&lt;="&amp;BD$4)-SUMIFS(Model!$BK$6:$BK$105,Model!$BL$6:$BL$105,"&gt;"&amp;EOMONTH(BD$4-95,0),Model!$BL$6:$BL$105,"&lt;="&amp;BD$4)-SUMIFS(Model!$BT$6:$BT$105,Model!$BU$6:$BU$105,"&gt;"&amp;EOMONTH(BD$4-95,0),Model!$BU$6:$BU$105,"&lt;="&amp;BD$4)-SUMIFS(Model!$CC$6:$CC$105,Model!$CD$6:$CD$105,"&gt;"&amp;EOMONTH(BD$4-95,0),Model!$CD$6:$CD$105,"&lt;="&amp;BD$4)-SUMIFS(Model!$CL$6:$CL$105,Model!$CM$6:$CM$105,"&gt;"&amp;EOMONTH(BD$4-95,0),Model!$CM$6:$CM$105,"&lt;="&amp;BD$4)-SUMIFS(Model!$CU$6:$CU$105,Model!$CV$6:$CV$105,"&gt;"&amp;EOMONTH(BD$4-95,0),Model!$CV$6:$CV$105,"&lt;="&amp;BD$4)</f>
        <v>0</v>
      </c>
      <c r="BE11" s="151">
        <f>-SUMIFS(Model!$AA$6:$AA$105,Model!$AB$6:$AB$105,"&gt;"&amp;EOMONTH(BE$4-95,0),Model!$AB$6:$AB$105,"&lt;="&amp;BE$4)-SUMIFS(Model!$AJ$6:$AJ$105,Model!$AK$6:$AK$105,"&gt;"&amp;EOMONTH(BE$4-95,0),Model!$AK$6:$AK$105,"&lt;="&amp;BE$4)-SUMIFS(Model!$AS$6:$AS$105,Model!$AT$6:$AT$105,"&gt;"&amp;EOMONTH(BE$4-95,0),Model!$AT$6:$AT$105,"&lt;="&amp;BE$4)-SUMIFS(Model!$BB$6:$BB$105,Model!$BC$6:$BC$105,"&gt;"&amp;EOMONTH(BE$4-95,0),Model!$BC$6:$BC$105,"&lt;="&amp;BE$4)-SUMIFS(Model!$BK$6:$BK$105,Model!$BL$6:$BL$105,"&gt;"&amp;EOMONTH(BE$4-95,0),Model!$BL$6:$BL$105,"&lt;="&amp;BE$4)-SUMIFS(Model!$BT$6:$BT$105,Model!$BU$6:$BU$105,"&gt;"&amp;EOMONTH(BE$4-95,0),Model!$BU$6:$BU$105,"&lt;="&amp;BE$4)-SUMIFS(Model!$CC$6:$CC$105,Model!$CD$6:$CD$105,"&gt;"&amp;EOMONTH(BE$4-95,0),Model!$CD$6:$CD$105,"&lt;="&amp;BE$4)-SUMIFS(Model!$CL$6:$CL$105,Model!$CM$6:$CM$105,"&gt;"&amp;EOMONTH(BE$4-95,0),Model!$CM$6:$CM$105,"&lt;="&amp;BE$4)-SUMIFS(Model!$CU$6:$CU$105,Model!$CV$6:$CV$105,"&gt;"&amp;EOMONTH(BE$4-95,0),Model!$CV$6:$CV$105,"&lt;="&amp;BE$4)</f>
        <v>0</v>
      </c>
      <c r="BF11" s="151">
        <f>-SUMIFS(Model!$AA$6:$AA$105,Model!$AB$6:$AB$105,"&gt;"&amp;EOMONTH(BF$4-95,0),Model!$AB$6:$AB$105,"&lt;="&amp;BF$4)-SUMIFS(Model!$AJ$6:$AJ$105,Model!$AK$6:$AK$105,"&gt;"&amp;EOMONTH(BF$4-95,0),Model!$AK$6:$AK$105,"&lt;="&amp;BF$4)-SUMIFS(Model!$AS$6:$AS$105,Model!$AT$6:$AT$105,"&gt;"&amp;EOMONTH(BF$4-95,0),Model!$AT$6:$AT$105,"&lt;="&amp;BF$4)-SUMIFS(Model!$BB$6:$BB$105,Model!$BC$6:$BC$105,"&gt;"&amp;EOMONTH(BF$4-95,0),Model!$BC$6:$BC$105,"&lt;="&amp;BF$4)-SUMIFS(Model!$BK$6:$BK$105,Model!$BL$6:$BL$105,"&gt;"&amp;EOMONTH(BF$4-95,0),Model!$BL$6:$BL$105,"&lt;="&amp;BF$4)-SUMIFS(Model!$BT$6:$BT$105,Model!$BU$6:$BU$105,"&gt;"&amp;EOMONTH(BF$4-95,0),Model!$BU$6:$BU$105,"&lt;="&amp;BF$4)-SUMIFS(Model!$CC$6:$CC$105,Model!$CD$6:$CD$105,"&gt;"&amp;EOMONTH(BF$4-95,0),Model!$CD$6:$CD$105,"&lt;="&amp;BF$4)-SUMIFS(Model!$CL$6:$CL$105,Model!$CM$6:$CM$105,"&gt;"&amp;EOMONTH(BF$4-95,0),Model!$CM$6:$CM$105,"&lt;="&amp;BF$4)-SUMIFS(Model!$CU$6:$CU$105,Model!$CV$6:$CV$105,"&gt;"&amp;EOMONTH(BF$4-95,0),Model!$CV$6:$CV$105,"&lt;="&amp;BF$4)</f>
        <v>0</v>
      </c>
      <c r="BG11" s="151">
        <f>-SUMIFS(Model!$AA$6:$AA$105,Model!$AB$6:$AB$105,"&gt;"&amp;EOMONTH(BG$4-95,0),Model!$AB$6:$AB$105,"&lt;="&amp;BG$4)-SUMIFS(Model!$AJ$6:$AJ$105,Model!$AK$6:$AK$105,"&gt;"&amp;EOMONTH(BG$4-95,0),Model!$AK$6:$AK$105,"&lt;="&amp;BG$4)-SUMIFS(Model!$AS$6:$AS$105,Model!$AT$6:$AT$105,"&gt;"&amp;EOMONTH(BG$4-95,0),Model!$AT$6:$AT$105,"&lt;="&amp;BG$4)-SUMIFS(Model!$BB$6:$BB$105,Model!$BC$6:$BC$105,"&gt;"&amp;EOMONTH(BG$4-95,0),Model!$BC$6:$BC$105,"&lt;="&amp;BG$4)-SUMIFS(Model!$BK$6:$BK$105,Model!$BL$6:$BL$105,"&gt;"&amp;EOMONTH(BG$4-95,0),Model!$BL$6:$BL$105,"&lt;="&amp;BG$4)-SUMIFS(Model!$BT$6:$BT$105,Model!$BU$6:$BU$105,"&gt;"&amp;EOMONTH(BG$4-95,0),Model!$BU$6:$BU$105,"&lt;="&amp;BG$4)-SUMIFS(Model!$CC$6:$CC$105,Model!$CD$6:$CD$105,"&gt;"&amp;EOMONTH(BG$4-95,0),Model!$CD$6:$CD$105,"&lt;="&amp;BG$4)-SUMIFS(Model!$CL$6:$CL$105,Model!$CM$6:$CM$105,"&gt;"&amp;EOMONTH(BG$4-95,0),Model!$CM$6:$CM$105,"&lt;="&amp;BG$4)-SUMIFS(Model!$CU$6:$CU$105,Model!$CV$6:$CV$105,"&gt;"&amp;EOMONTH(BG$4-95,0),Model!$CV$6:$CV$105,"&lt;="&amp;BG$4)</f>
        <v>0</v>
      </c>
      <c r="BH11" s="151">
        <f>-SUMIFS(Model!$AA$6:$AA$105,Model!$AB$6:$AB$105,"&gt;"&amp;EOMONTH(BH$4-95,0),Model!$AB$6:$AB$105,"&lt;="&amp;BH$4)-SUMIFS(Model!$AJ$6:$AJ$105,Model!$AK$6:$AK$105,"&gt;"&amp;EOMONTH(BH$4-95,0),Model!$AK$6:$AK$105,"&lt;="&amp;BH$4)-SUMIFS(Model!$AS$6:$AS$105,Model!$AT$6:$AT$105,"&gt;"&amp;EOMONTH(BH$4-95,0),Model!$AT$6:$AT$105,"&lt;="&amp;BH$4)-SUMIFS(Model!$BB$6:$BB$105,Model!$BC$6:$BC$105,"&gt;"&amp;EOMONTH(BH$4-95,0),Model!$BC$6:$BC$105,"&lt;="&amp;BH$4)-SUMIFS(Model!$BK$6:$BK$105,Model!$BL$6:$BL$105,"&gt;"&amp;EOMONTH(BH$4-95,0),Model!$BL$6:$BL$105,"&lt;="&amp;BH$4)-SUMIFS(Model!$BT$6:$BT$105,Model!$BU$6:$BU$105,"&gt;"&amp;EOMONTH(BH$4-95,0),Model!$BU$6:$BU$105,"&lt;="&amp;BH$4)-SUMIFS(Model!$CC$6:$CC$105,Model!$CD$6:$CD$105,"&gt;"&amp;EOMONTH(BH$4-95,0),Model!$CD$6:$CD$105,"&lt;="&amp;BH$4)-SUMIFS(Model!$CL$6:$CL$105,Model!$CM$6:$CM$105,"&gt;"&amp;EOMONTH(BH$4-95,0),Model!$CM$6:$CM$105,"&lt;="&amp;BH$4)-SUMIFS(Model!$CU$6:$CU$105,Model!$CV$6:$CV$105,"&gt;"&amp;EOMONTH(BH$4-95,0),Model!$CV$6:$CV$105,"&lt;="&amp;BH$4)</f>
        <v>0</v>
      </c>
      <c r="BI11" s="151">
        <f>-SUMIFS(Model!$AA$6:$AA$105,Model!$AB$6:$AB$105,"&gt;"&amp;EOMONTH(BI$4-95,0),Model!$AB$6:$AB$105,"&lt;="&amp;BI$4)-SUMIFS(Model!$AJ$6:$AJ$105,Model!$AK$6:$AK$105,"&gt;"&amp;EOMONTH(BI$4-95,0),Model!$AK$6:$AK$105,"&lt;="&amp;BI$4)-SUMIFS(Model!$AS$6:$AS$105,Model!$AT$6:$AT$105,"&gt;"&amp;EOMONTH(BI$4-95,0),Model!$AT$6:$AT$105,"&lt;="&amp;BI$4)-SUMIFS(Model!$BB$6:$BB$105,Model!$BC$6:$BC$105,"&gt;"&amp;EOMONTH(BI$4-95,0),Model!$BC$6:$BC$105,"&lt;="&amp;BI$4)-SUMIFS(Model!$BK$6:$BK$105,Model!$BL$6:$BL$105,"&gt;"&amp;EOMONTH(BI$4-95,0),Model!$BL$6:$BL$105,"&lt;="&amp;BI$4)-SUMIFS(Model!$BT$6:$BT$105,Model!$BU$6:$BU$105,"&gt;"&amp;EOMONTH(BI$4-95,0),Model!$BU$6:$BU$105,"&lt;="&amp;BI$4)-SUMIFS(Model!$CC$6:$CC$105,Model!$CD$6:$CD$105,"&gt;"&amp;EOMONTH(BI$4-95,0),Model!$CD$6:$CD$105,"&lt;="&amp;BI$4)-SUMIFS(Model!$CL$6:$CL$105,Model!$CM$6:$CM$105,"&gt;"&amp;EOMONTH(BI$4-95,0),Model!$CM$6:$CM$105,"&lt;="&amp;BI$4)-SUMIFS(Model!$CU$6:$CU$105,Model!$CV$6:$CV$105,"&gt;"&amp;EOMONTH(BI$4-95,0),Model!$CV$6:$CV$105,"&lt;="&amp;BI$4)</f>
        <v>0</v>
      </c>
      <c r="BJ11" s="151">
        <f>-SUMIFS(Model!$AA$6:$AA$105,Model!$AB$6:$AB$105,"&gt;"&amp;EOMONTH(BJ$4-95,0),Model!$AB$6:$AB$105,"&lt;="&amp;BJ$4)-SUMIFS(Model!$AJ$6:$AJ$105,Model!$AK$6:$AK$105,"&gt;"&amp;EOMONTH(BJ$4-95,0),Model!$AK$6:$AK$105,"&lt;="&amp;BJ$4)-SUMIFS(Model!$AS$6:$AS$105,Model!$AT$6:$AT$105,"&gt;"&amp;EOMONTH(BJ$4-95,0),Model!$AT$6:$AT$105,"&lt;="&amp;BJ$4)-SUMIFS(Model!$BB$6:$BB$105,Model!$BC$6:$BC$105,"&gt;"&amp;EOMONTH(BJ$4-95,0),Model!$BC$6:$BC$105,"&lt;="&amp;BJ$4)-SUMIFS(Model!$BK$6:$BK$105,Model!$BL$6:$BL$105,"&gt;"&amp;EOMONTH(BJ$4-95,0),Model!$BL$6:$BL$105,"&lt;="&amp;BJ$4)-SUMIFS(Model!$BT$6:$BT$105,Model!$BU$6:$BU$105,"&gt;"&amp;EOMONTH(BJ$4-95,0),Model!$BU$6:$BU$105,"&lt;="&amp;BJ$4)-SUMIFS(Model!$CC$6:$CC$105,Model!$CD$6:$CD$105,"&gt;"&amp;EOMONTH(BJ$4-95,0),Model!$CD$6:$CD$105,"&lt;="&amp;BJ$4)-SUMIFS(Model!$CL$6:$CL$105,Model!$CM$6:$CM$105,"&gt;"&amp;EOMONTH(BJ$4-95,0),Model!$CM$6:$CM$105,"&lt;="&amp;BJ$4)-SUMIFS(Model!$CU$6:$CU$105,Model!$CV$6:$CV$105,"&gt;"&amp;EOMONTH(BJ$4-95,0),Model!$CV$6:$CV$105,"&lt;="&amp;BJ$4)</f>
        <v>0</v>
      </c>
      <c r="BK11" s="151">
        <f>-SUMIFS(Model!$AA$6:$AA$105,Model!$AB$6:$AB$105,"&gt;"&amp;EOMONTH(BK$4-95,0),Model!$AB$6:$AB$105,"&lt;="&amp;BK$4)-SUMIFS(Model!$AJ$6:$AJ$105,Model!$AK$6:$AK$105,"&gt;"&amp;EOMONTH(BK$4-95,0),Model!$AK$6:$AK$105,"&lt;="&amp;BK$4)-SUMIFS(Model!$AS$6:$AS$105,Model!$AT$6:$AT$105,"&gt;"&amp;EOMONTH(BK$4-95,0),Model!$AT$6:$AT$105,"&lt;="&amp;BK$4)-SUMIFS(Model!$BB$6:$BB$105,Model!$BC$6:$BC$105,"&gt;"&amp;EOMONTH(BK$4-95,0),Model!$BC$6:$BC$105,"&lt;="&amp;BK$4)-SUMIFS(Model!$BK$6:$BK$105,Model!$BL$6:$BL$105,"&gt;"&amp;EOMONTH(BK$4-95,0),Model!$BL$6:$BL$105,"&lt;="&amp;BK$4)-SUMIFS(Model!$BT$6:$BT$105,Model!$BU$6:$BU$105,"&gt;"&amp;EOMONTH(BK$4-95,0),Model!$BU$6:$BU$105,"&lt;="&amp;BK$4)-SUMIFS(Model!$CC$6:$CC$105,Model!$CD$6:$CD$105,"&gt;"&amp;EOMONTH(BK$4-95,0),Model!$CD$6:$CD$105,"&lt;="&amp;BK$4)-SUMIFS(Model!$CL$6:$CL$105,Model!$CM$6:$CM$105,"&gt;"&amp;EOMONTH(BK$4-95,0),Model!$CM$6:$CM$105,"&lt;="&amp;BK$4)-SUMIFS(Model!$CU$6:$CU$105,Model!$CV$6:$CV$105,"&gt;"&amp;EOMONTH(BK$4-95,0),Model!$CV$6:$CV$105,"&lt;="&amp;BK$4)</f>
        <v>0</v>
      </c>
      <c r="BL11" s="151">
        <f>-SUMIFS(Model!$AA$6:$AA$105,Model!$AB$6:$AB$105,"&gt;"&amp;EOMONTH(BL$4-95,0),Model!$AB$6:$AB$105,"&lt;="&amp;BL$4)-SUMIFS(Model!$AJ$6:$AJ$105,Model!$AK$6:$AK$105,"&gt;"&amp;EOMONTH(BL$4-95,0),Model!$AK$6:$AK$105,"&lt;="&amp;BL$4)-SUMIFS(Model!$AS$6:$AS$105,Model!$AT$6:$AT$105,"&gt;"&amp;EOMONTH(BL$4-95,0),Model!$AT$6:$AT$105,"&lt;="&amp;BL$4)-SUMIFS(Model!$BB$6:$BB$105,Model!$BC$6:$BC$105,"&gt;"&amp;EOMONTH(BL$4-95,0),Model!$BC$6:$BC$105,"&lt;="&amp;BL$4)-SUMIFS(Model!$BK$6:$BK$105,Model!$BL$6:$BL$105,"&gt;"&amp;EOMONTH(BL$4-95,0),Model!$BL$6:$BL$105,"&lt;="&amp;BL$4)-SUMIFS(Model!$BT$6:$BT$105,Model!$BU$6:$BU$105,"&gt;"&amp;EOMONTH(BL$4-95,0),Model!$BU$6:$BU$105,"&lt;="&amp;BL$4)-SUMIFS(Model!$CC$6:$CC$105,Model!$CD$6:$CD$105,"&gt;"&amp;EOMONTH(BL$4-95,0),Model!$CD$6:$CD$105,"&lt;="&amp;BL$4)-SUMIFS(Model!$CL$6:$CL$105,Model!$CM$6:$CM$105,"&gt;"&amp;EOMONTH(BL$4-95,0),Model!$CM$6:$CM$105,"&lt;="&amp;BL$4)-SUMIFS(Model!$CU$6:$CU$105,Model!$CV$6:$CV$105,"&gt;"&amp;EOMONTH(BL$4-95,0),Model!$CV$6:$CV$105,"&lt;="&amp;BL$4)</f>
        <v>0</v>
      </c>
      <c r="BM11" s="151">
        <f>-SUMIFS(Model!$AA$6:$AA$105,Model!$AB$6:$AB$105,"&gt;"&amp;EOMONTH(BM$4-95,0),Model!$AB$6:$AB$105,"&lt;="&amp;BM$4)-SUMIFS(Model!$AJ$6:$AJ$105,Model!$AK$6:$AK$105,"&gt;"&amp;EOMONTH(BM$4-95,0),Model!$AK$6:$AK$105,"&lt;="&amp;BM$4)-SUMIFS(Model!$AS$6:$AS$105,Model!$AT$6:$AT$105,"&gt;"&amp;EOMONTH(BM$4-95,0),Model!$AT$6:$AT$105,"&lt;="&amp;BM$4)-SUMIFS(Model!$BB$6:$BB$105,Model!$BC$6:$BC$105,"&gt;"&amp;EOMONTH(BM$4-95,0),Model!$BC$6:$BC$105,"&lt;="&amp;BM$4)-SUMIFS(Model!$BK$6:$BK$105,Model!$BL$6:$BL$105,"&gt;"&amp;EOMONTH(BM$4-95,0),Model!$BL$6:$BL$105,"&lt;="&amp;BM$4)-SUMIFS(Model!$BT$6:$BT$105,Model!$BU$6:$BU$105,"&gt;"&amp;EOMONTH(BM$4-95,0),Model!$BU$6:$BU$105,"&lt;="&amp;BM$4)-SUMIFS(Model!$CC$6:$CC$105,Model!$CD$6:$CD$105,"&gt;"&amp;EOMONTH(BM$4-95,0),Model!$CD$6:$CD$105,"&lt;="&amp;BM$4)-SUMIFS(Model!$CL$6:$CL$105,Model!$CM$6:$CM$105,"&gt;"&amp;EOMONTH(BM$4-95,0),Model!$CM$6:$CM$105,"&lt;="&amp;BM$4)-SUMIFS(Model!$CU$6:$CU$105,Model!$CV$6:$CV$105,"&gt;"&amp;EOMONTH(BM$4-95,0),Model!$CV$6:$CV$105,"&lt;="&amp;BM$4)</f>
        <v>0</v>
      </c>
      <c r="BN11" s="151">
        <f>-SUMIFS(Model!$AA$6:$AA$105,Model!$AB$6:$AB$105,"&gt;"&amp;EOMONTH(BN$4-95,0),Model!$AB$6:$AB$105,"&lt;="&amp;BN$4)-SUMIFS(Model!$AJ$6:$AJ$105,Model!$AK$6:$AK$105,"&gt;"&amp;EOMONTH(BN$4-95,0),Model!$AK$6:$AK$105,"&lt;="&amp;BN$4)-SUMIFS(Model!$AS$6:$AS$105,Model!$AT$6:$AT$105,"&gt;"&amp;EOMONTH(BN$4-95,0),Model!$AT$6:$AT$105,"&lt;="&amp;BN$4)-SUMIFS(Model!$BB$6:$BB$105,Model!$BC$6:$BC$105,"&gt;"&amp;EOMONTH(BN$4-95,0),Model!$BC$6:$BC$105,"&lt;="&amp;BN$4)-SUMIFS(Model!$BK$6:$BK$105,Model!$BL$6:$BL$105,"&gt;"&amp;EOMONTH(BN$4-95,0),Model!$BL$6:$BL$105,"&lt;="&amp;BN$4)-SUMIFS(Model!$BT$6:$BT$105,Model!$BU$6:$BU$105,"&gt;"&amp;EOMONTH(BN$4-95,0),Model!$BU$6:$BU$105,"&lt;="&amp;BN$4)-SUMIFS(Model!$CC$6:$CC$105,Model!$CD$6:$CD$105,"&gt;"&amp;EOMONTH(BN$4-95,0),Model!$CD$6:$CD$105,"&lt;="&amp;BN$4)-SUMIFS(Model!$CL$6:$CL$105,Model!$CM$6:$CM$105,"&gt;"&amp;EOMONTH(BN$4-95,0),Model!$CM$6:$CM$105,"&lt;="&amp;BN$4)-SUMIFS(Model!$CU$6:$CU$105,Model!$CV$6:$CV$105,"&gt;"&amp;EOMONTH(BN$4-95,0),Model!$CV$6:$CV$105,"&lt;="&amp;BN$4)</f>
        <v>0</v>
      </c>
      <c r="BO11" s="151">
        <f>-SUMIFS(Model!$AA$6:$AA$105,Model!$AB$6:$AB$105,"&gt;"&amp;EOMONTH(BO$4-95,0),Model!$AB$6:$AB$105,"&lt;="&amp;BO$4)-SUMIFS(Model!$AJ$6:$AJ$105,Model!$AK$6:$AK$105,"&gt;"&amp;EOMONTH(BO$4-95,0),Model!$AK$6:$AK$105,"&lt;="&amp;BO$4)-SUMIFS(Model!$AS$6:$AS$105,Model!$AT$6:$AT$105,"&gt;"&amp;EOMONTH(BO$4-95,0),Model!$AT$6:$AT$105,"&lt;="&amp;BO$4)-SUMIFS(Model!$BB$6:$BB$105,Model!$BC$6:$BC$105,"&gt;"&amp;EOMONTH(BO$4-95,0),Model!$BC$6:$BC$105,"&lt;="&amp;BO$4)-SUMIFS(Model!$BK$6:$BK$105,Model!$BL$6:$BL$105,"&gt;"&amp;EOMONTH(BO$4-95,0),Model!$BL$6:$BL$105,"&lt;="&amp;BO$4)-SUMIFS(Model!$BT$6:$BT$105,Model!$BU$6:$BU$105,"&gt;"&amp;EOMONTH(BO$4-95,0),Model!$BU$6:$BU$105,"&lt;="&amp;BO$4)-SUMIFS(Model!$CC$6:$CC$105,Model!$CD$6:$CD$105,"&gt;"&amp;EOMONTH(BO$4-95,0),Model!$CD$6:$CD$105,"&lt;="&amp;BO$4)-SUMIFS(Model!$CL$6:$CL$105,Model!$CM$6:$CM$105,"&gt;"&amp;EOMONTH(BO$4-95,0),Model!$CM$6:$CM$105,"&lt;="&amp;BO$4)-SUMIFS(Model!$CU$6:$CU$105,Model!$CV$6:$CV$105,"&gt;"&amp;EOMONTH(BO$4-95,0),Model!$CV$6:$CV$105,"&lt;="&amp;BO$4)</f>
        <v>0</v>
      </c>
      <c r="BP11" s="151">
        <f>-SUMIFS(Model!$AA$6:$AA$105,Model!$AB$6:$AB$105,"&gt;"&amp;EOMONTH(BP$4-95,0),Model!$AB$6:$AB$105,"&lt;="&amp;BP$4)-SUMIFS(Model!$AJ$6:$AJ$105,Model!$AK$6:$AK$105,"&gt;"&amp;EOMONTH(BP$4-95,0),Model!$AK$6:$AK$105,"&lt;="&amp;BP$4)-SUMIFS(Model!$AS$6:$AS$105,Model!$AT$6:$AT$105,"&gt;"&amp;EOMONTH(BP$4-95,0),Model!$AT$6:$AT$105,"&lt;="&amp;BP$4)-SUMIFS(Model!$BB$6:$BB$105,Model!$BC$6:$BC$105,"&gt;"&amp;EOMONTH(BP$4-95,0),Model!$BC$6:$BC$105,"&lt;="&amp;BP$4)-SUMIFS(Model!$BK$6:$BK$105,Model!$BL$6:$BL$105,"&gt;"&amp;EOMONTH(BP$4-95,0),Model!$BL$6:$BL$105,"&lt;="&amp;BP$4)-SUMIFS(Model!$BT$6:$BT$105,Model!$BU$6:$BU$105,"&gt;"&amp;EOMONTH(BP$4-95,0),Model!$BU$6:$BU$105,"&lt;="&amp;BP$4)-SUMIFS(Model!$CC$6:$CC$105,Model!$CD$6:$CD$105,"&gt;"&amp;EOMONTH(BP$4-95,0),Model!$CD$6:$CD$105,"&lt;="&amp;BP$4)-SUMIFS(Model!$CL$6:$CL$105,Model!$CM$6:$CM$105,"&gt;"&amp;EOMONTH(BP$4-95,0),Model!$CM$6:$CM$105,"&lt;="&amp;BP$4)-SUMIFS(Model!$CU$6:$CU$105,Model!$CV$6:$CV$105,"&gt;"&amp;EOMONTH(BP$4-95,0),Model!$CV$6:$CV$105,"&lt;="&amp;BP$4)</f>
        <v>0</v>
      </c>
      <c r="BQ11" s="151">
        <f>-SUMIFS(Model!$AA$6:$AA$105,Model!$AB$6:$AB$105,"&gt;"&amp;EOMONTH(BQ$4-95,0),Model!$AB$6:$AB$105,"&lt;="&amp;BQ$4)-SUMIFS(Model!$AJ$6:$AJ$105,Model!$AK$6:$AK$105,"&gt;"&amp;EOMONTH(BQ$4-95,0),Model!$AK$6:$AK$105,"&lt;="&amp;BQ$4)-SUMIFS(Model!$AS$6:$AS$105,Model!$AT$6:$AT$105,"&gt;"&amp;EOMONTH(BQ$4-95,0),Model!$AT$6:$AT$105,"&lt;="&amp;BQ$4)-SUMIFS(Model!$BB$6:$BB$105,Model!$BC$6:$BC$105,"&gt;"&amp;EOMONTH(BQ$4-95,0),Model!$BC$6:$BC$105,"&lt;="&amp;BQ$4)-SUMIFS(Model!$BK$6:$BK$105,Model!$BL$6:$BL$105,"&gt;"&amp;EOMONTH(BQ$4-95,0),Model!$BL$6:$BL$105,"&lt;="&amp;BQ$4)-SUMIFS(Model!$BT$6:$BT$105,Model!$BU$6:$BU$105,"&gt;"&amp;EOMONTH(BQ$4-95,0),Model!$BU$6:$BU$105,"&lt;="&amp;BQ$4)-SUMIFS(Model!$CC$6:$CC$105,Model!$CD$6:$CD$105,"&gt;"&amp;EOMONTH(BQ$4-95,0),Model!$CD$6:$CD$105,"&lt;="&amp;BQ$4)-SUMIFS(Model!$CL$6:$CL$105,Model!$CM$6:$CM$105,"&gt;"&amp;EOMONTH(BQ$4-95,0),Model!$CM$6:$CM$105,"&lt;="&amp;BQ$4)-SUMIFS(Model!$CU$6:$CU$105,Model!$CV$6:$CV$105,"&gt;"&amp;EOMONTH(BQ$4-95,0),Model!$CV$6:$CV$105,"&lt;="&amp;BQ$4)</f>
        <v>0</v>
      </c>
      <c r="BR11" s="151">
        <f>-SUMIFS(Model!$AA$6:$AA$105,Model!$AB$6:$AB$105,"&gt;"&amp;EOMONTH(BR$4-95,0),Model!$AB$6:$AB$105,"&lt;="&amp;BR$4)-SUMIFS(Model!$AJ$6:$AJ$105,Model!$AK$6:$AK$105,"&gt;"&amp;EOMONTH(BR$4-95,0),Model!$AK$6:$AK$105,"&lt;="&amp;BR$4)-SUMIFS(Model!$AS$6:$AS$105,Model!$AT$6:$AT$105,"&gt;"&amp;EOMONTH(BR$4-95,0),Model!$AT$6:$AT$105,"&lt;="&amp;BR$4)-SUMIFS(Model!$BB$6:$BB$105,Model!$BC$6:$BC$105,"&gt;"&amp;EOMONTH(BR$4-95,0),Model!$BC$6:$BC$105,"&lt;="&amp;BR$4)-SUMIFS(Model!$BK$6:$BK$105,Model!$BL$6:$BL$105,"&gt;"&amp;EOMONTH(BR$4-95,0),Model!$BL$6:$BL$105,"&lt;="&amp;BR$4)-SUMIFS(Model!$BT$6:$BT$105,Model!$BU$6:$BU$105,"&gt;"&amp;EOMONTH(BR$4-95,0),Model!$BU$6:$BU$105,"&lt;="&amp;BR$4)-SUMIFS(Model!$CC$6:$CC$105,Model!$CD$6:$CD$105,"&gt;"&amp;EOMONTH(BR$4-95,0),Model!$CD$6:$CD$105,"&lt;="&amp;BR$4)-SUMIFS(Model!$CL$6:$CL$105,Model!$CM$6:$CM$105,"&gt;"&amp;EOMONTH(BR$4-95,0),Model!$CM$6:$CM$105,"&lt;="&amp;BR$4)-SUMIFS(Model!$CU$6:$CU$105,Model!$CV$6:$CV$105,"&gt;"&amp;EOMONTH(BR$4-95,0),Model!$CV$6:$CV$105,"&lt;="&amp;BR$4)</f>
        <v>0</v>
      </c>
      <c r="BS11" s="151">
        <f>-SUMIFS(Model!$AA$6:$AA$105,Model!$AB$6:$AB$105,"&gt;"&amp;EOMONTH(BS$4-95,0),Model!$AB$6:$AB$105,"&lt;="&amp;BS$4)-SUMIFS(Model!$AJ$6:$AJ$105,Model!$AK$6:$AK$105,"&gt;"&amp;EOMONTH(BS$4-95,0),Model!$AK$6:$AK$105,"&lt;="&amp;BS$4)-SUMIFS(Model!$AS$6:$AS$105,Model!$AT$6:$AT$105,"&gt;"&amp;EOMONTH(BS$4-95,0),Model!$AT$6:$AT$105,"&lt;="&amp;BS$4)-SUMIFS(Model!$BB$6:$BB$105,Model!$BC$6:$BC$105,"&gt;"&amp;EOMONTH(BS$4-95,0),Model!$BC$6:$BC$105,"&lt;="&amp;BS$4)-SUMIFS(Model!$BK$6:$BK$105,Model!$BL$6:$BL$105,"&gt;"&amp;EOMONTH(BS$4-95,0),Model!$BL$6:$BL$105,"&lt;="&amp;BS$4)-SUMIFS(Model!$BT$6:$BT$105,Model!$BU$6:$BU$105,"&gt;"&amp;EOMONTH(BS$4-95,0),Model!$BU$6:$BU$105,"&lt;="&amp;BS$4)-SUMIFS(Model!$CC$6:$CC$105,Model!$CD$6:$CD$105,"&gt;"&amp;EOMONTH(BS$4-95,0),Model!$CD$6:$CD$105,"&lt;="&amp;BS$4)-SUMIFS(Model!$CL$6:$CL$105,Model!$CM$6:$CM$105,"&gt;"&amp;EOMONTH(BS$4-95,0),Model!$CM$6:$CM$105,"&lt;="&amp;BS$4)-SUMIFS(Model!$CU$6:$CU$105,Model!$CV$6:$CV$105,"&gt;"&amp;EOMONTH(BS$4-95,0),Model!$CV$6:$CV$105,"&lt;="&amp;BS$4)</f>
        <v>0</v>
      </c>
      <c r="BT11" s="151">
        <f>-SUMIFS(Model!$AA$6:$AA$105,Model!$AB$6:$AB$105,"&gt;"&amp;EOMONTH(BT$4-95,0),Model!$AB$6:$AB$105,"&lt;="&amp;BT$4)-SUMIFS(Model!$AJ$6:$AJ$105,Model!$AK$6:$AK$105,"&gt;"&amp;EOMONTH(BT$4-95,0),Model!$AK$6:$AK$105,"&lt;="&amp;BT$4)-SUMIFS(Model!$AS$6:$AS$105,Model!$AT$6:$AT$105,"&gt;"&amp;EOMONTH(BT$4-95,0),Model!$AT$6:$AT$105,"&lt;="&amp;BT$4)-SUMIFS(Model!$BB$6:$BB$105,Model!$BC$6:$BC$105,"&gt;"&amp;EOMONTH(BT$4-95,0),Model!$BC$6:$BC$105,"&lt;="&amp;BT$4)-SUMIFS(Model!$BK$6:$BK$105,Model!$BL$6:$BL$105,"&gt;"&amp;EOMONTH(BT$4-95,0),Model!$BL$6:$BL$105,"&lt;="&amp;BT$4)-SUMIFS(Model!$BT$6:$BT$105,Model!$BU$6:$BU$105,"&gt;"&amp;EOMONTH(BT$4-95,0),Model!$BU$6:$BU$105,"&lt;="&amp;BT$4)-SUMIFS(Model!$CC$6:$CC$105,Model!$CD$6:$CD$105,"&gt;"&amp;EOMONTH(BT$4-95,0),Model!$CD$6:$CD$105,"&lt;="&amp;BT$4)-SUMIFS(Model!$CL$6:$CL$105,Model!$CM$6:$CM$105,"&gt;"&amp;EOMONTH(BT$4-95,0),Model!$CM$6:$CM$105,"&lt;="&amp;BT$4)-SUMIFS(Model!$CU$6:$CU$105,Model!$CV$6:$CV$105,"&gt;"&amp;EOMONTH(BT$4-95,0),Model!$CV$6:$CV$105,"&lt;="&amp;BT$4)</f>
        <v>0</v>
      </c>
      <c r="BU11" s="151">
        <f>-SUMIFS(Model!$AA$6:$AA$105,Model!$AB$6:$AB$105,"&gt;"&amp;EOMONTH(BU$4-95,0),Model!$AB$6:$AB$105,"&lt;="&amp;BU$4)-SUMIFS(Model!$AJ$6:$AJ$105,Model!$AK$6:$AK$105,"&gt;"&amp;EOMONTH(BU$4-95,0),Model!$AK$6:$AK$105,"&lt;="&amp;BU$4)-SUMIFS(Model!$AS$6:$AS$105,Model!$AT$6:$AT$105,"&gt;"&amp;EOMONTH(BU$4-95,0),Model!$AT$6:$AT$105,"&lt;="&amp;BU$4)-SUMIFS(Model!$BB$6:$BB$105,Model!$BC$6:$BC$105,"&gt;"&amp;EOMONTH(BU$4-95,0),Model!$BC$6:$BC$105,"&lt;="&amp;BU$4)-SUMIFS(Model!$BK$6:$BK$105,Model!$BL$6:$BL$105,"&gt;"&amp;EOMONTH(BU$4-95,0),Model!$BL$6:$BL$105,"&lt;="&amp;BU$4)-SUMIFS(Model!$BT$6:$BT$105,Model!$BU$6:$BU$105,"&gt;"&amp;EOMONTH(BU$4-95,0),Model!$BU$6:$BU$105,"&lt;="&amp;BU$4)-SUMIFS(Model!$CC$6:$CC$105,Model!$CD$6:$CD$105,"&gt;"&amp;EOMONTH(BU$4-95,0),Model!$CD$6:$CD$105,"&lt;="&amp;BU$4)-SUMIFS(Model!$CL$6:$CL$105,Model!$CM$6:$CM$105,"&gt;"&amp;EOMONTH(BU$4-95,0),Model!$CM$6:$CM$105,"&lt;="&amp;BU$4)-SUMIFS(Model!$CU$6:$CU$105,Model!$CV$6:$CV$105,"&gt;"&amp;EOMONTH(BU$4-95,0),Model!$CV$6:$CV$105,"&lt;="&amp;BU$4)</f>
        <v>0</v>
      </c>
      <c r="BV11" s="151">
        <f>-SUMIFS(Model!$AA$6:$AA$105,Model!$AB$6:$AB$105,"&gt;"&amp;EOMONTH(BV$4-95,0),Model!$AB$6:$AB$105,"&lt;="&amp;BV$4)-SUMIFS(Model!$AJ$6:$AJ$105,Model!$AK$6:$AK$105,"&gt;"&amp;EOMONTH(BV$4-95,0),Model!$AK$6:$AK$105,"&lt;="&amp;BV$4)-SUMIFS(Model!$AS$6:$AS$105,Model!$AT$6:$AT$105,"&gt;"&amp;EOMONTH(BV$4-95,0),Model!$AT$6:$AT$105,"&lt;="&amp;BV$4)-SUMIFS(Model!$BB$6:$BB$105,Model!$BC$6:$BC$105,"&gt;"&amp;EOMONTH(BV$4-95,0),Model!$BC$6:$BC$105,"&lt;="&amp;BV$4)-SUMIFS(Model!$BK$6:$BK$105,Model!$BL$6:$BL$105,"&gt;"&amp;EOMONTH(BV$4-95,0),Model!$BL$6:$BL$105,"&lt;="&amp;BV$4)-SUMIFS(Model!$BT$6:$BT$105,Model!$BU$6:$BU$105,"&gt;"&amp;EOMONTH(BV$4-95,0),Model!$BU$6:$BU$105,"&lt;="&amp;BV$4)-SUMIFS(Model!$CC$6:$CC$105,Model!$CD$6:$CD$105,"&gt;"&amp;EOMONTH(BV$4-95,0),Model!$CD$6:$CD$105,"&lt;="&amp;BV$4)-SUMIFS(Model!$CL$6:$CL$105,Model!$CM$6:$CM$105,"&gt;"&amp;EOMONTH(BV$4-95,0),Model!$CM$6:$CM$105,"&lt;="&amp;BV$4)-SUMIFS(Model!$CU$6:$CU$105,Model!$CV$6:$CV$105,"&gt;"&amp;EOMONTH(BV$4-95,0),Model!$CV$6:$CV$105,"&lt;="&amp;BV$4)</f>
        <v>0</v>
      </c>
      <c r="BW11" s="151">
        <f>-SUMIFS(Model!$AA$6:$AA$105,Model!$AB$6:$AB$105,"&gt;"&amp;EOMONTH(BW$4-95,0),Model!$AB$6:$AB$105,"&lt;="&amp;BW$4)-SUMIFS(Model!$AJ$6:$AJ$105,Model!$AK$6:$AK$105,"&gt;"&amp;EOMONTH(BW$4-95,0),Model!$AK$6:$AK$105,"&lt;="&amp;BW$4)-SUMIFS(Model!$AS$6:$AS$105,Model!$AT$6:$AT$105,"&gt;"&amp;EOMONTH(BW$4-95,0),Model!$AT$6:$AT$105,"&lt;="&amp;BW$4)-SUMIFS(Model!$BB$6:$BB$105,Model!$BC$6:$BC$105,"&gt;"&amp;EOMONTH(BW$4-95,0),Model!$BC$6:$BC$105,"&lt;="&amp;BW$4)-SUMIFS(Model!$BK$6:$BK$105,Model!$BL$6:$BL$105,"&gt;"&amp;EOMONTH(BW$4-95,0),Model!$BL$6:$BL$105,"&lt;="&amp;BW$4)-SUMIFS(Model!$BT$6:$BT$105,Model!$BU$6:$BU$105,"&gt;"&amp;EOMONTH(BW$4-95,0),Model!$BU$6:$BU$105,"&lt;="&amp;BW$4)-SUMIFS(Model!$CC$6:$CC$105,Model!$CD$6:$CD$105,"&gt;"&amp;EOMONTH(BW$4-95,0),Model!$CD$6:$CD$105,"&lt;="&amp;BW$4)-SUMIFS(Model!$CL$6:$CL$105,Model!$CM$6:$CM$105,"&gt;"&amp;EOMONTH(BW$4-95,0),Model!$CM$6:$CM$105,"&lt;="&amp;BW$4)-SUMIFS(Model!$CU$6:$CU$105,Model!$CV$6:$CV$105,"&gt;"&amp;EOMONTH(BW$4-95,0),Model!$CV$6:$CV$105,"&lt;="&amp;BW$4)</f>
        <v>0</v>
      </c>
      <c r="BX11" s="151">
        <f ca="1">SUM(C11:BW11)</f>
        <v>-83125000.000000015</v>
      </c>
    </row>
    <row r="12" spans="1:76" x14ac:dyDescent="0.25">
      <c r="C12" s="77"/>
      <c r="D12" s="77"/>
      <c r="E12" s="77"/>
      <c r="F12" s="77"/>
      <c r="G12" s="77"/>
      <c r="H12" s="77"/>
      <c r="I12" s="77"/>
      <c r="J12" s="77"/>
      <c r="K12" s="77"/>
      <c r="L12" s="77"/>
      <c r="M12" s="77"/>
      <c r="N12" s="77"/>
      <c r="O12" s="77"/>
      <c r="P12" s="77"/>
      <c r="Q12" s="77"/>
      <c r="R12" s="77"/>
      <c r="S12" s="77"/>
      <c r="T12" s="77"/>
      <c r="U12" s="77"/>
      <c r="V12" s="77"/>
      <c r="W12" s="77"/>
      <c r="X12" s="77"/>
      <c r="Y12" s="77"/>
      <c r="Z12" s="77"/>
      <c r="AA12" s="77"/>
      <c r="AB12" s="77"/>
      <c r="AC12" s="77"/>
      <c r="AD12" s="77"/>
      <c r="AE12" s="77"/>
      <c r="AF12" s="77"/>
      <c r="AG12" s="77"/>
      <c r="AH12" s="77"/>
      <c r="AI12" s="77"/>
      <c r="AJ12" s="77"/>
      <c r="AK12" s="77"/>
      <c r="AL12" s="77"/>
      <c r="AM12" s="77"/>
      <c r="AN12" s="77"/>
      <c r="AO12" s="77"/>
      <c r="AP12" s="77"/>
      <c r="AQ12" s="77"/>
      <c r="AR12" s="77"/>
      <c r="AS12" s="77"/>
      <c r="AT12" s="77"/>
      <c r="AU12" s="77"/>
      <c r="AV12" s="77"/>
      <c r="AW12" s="77"/>
      <c r="AX12" s="77"/>
      <c r="AY12" s="77"/>
      <c r="AZ12" s="77"/>
      <c r="BA12" s="77"/>
      <c r="BB12" s="77"/>
      <c r="BC12" s="77"/>
      <c r="BD12" s="77"/>
      <c r="BE12" s="77"/>
      <c r="BF12" s="77"/>
      <c r="BG12" s="77"/>
      <c r="BH12" s="77"/>
      <c r="BI12" s="77"/>
      <c r="BJ12" s="77"/>
      <c r="BK12" s="77"/>
      <c r="BL12" s="77"/>
      <c r="BM12" s="77"/>
      <c r="BN12" s="77"/>
      <c r="BO12" s="77"/>
      <c r="BP12" s="77"/>
      <c r="BQ12" s="77"/>
      <c r="BR12" s="77"/>
      <c r="BS12" s="77"/>
      <c r="BT12" s="77"/>
      <c r="BU12" s="77"/>
      <c r="BV12" s="77"/>
      <c r="BW12" s="77"/>
      <c r="BX12" s="151"/>
    </row>
    <row r="13" spans="1:76" x14ac:dyDescent="0.25">
      <c r="B13" s="2" t="s">
        <v>37</v>
      </c>
      <c r="C13" s="79">
        <f t="shared" ref="C13:AH13" ca="1" si="35">C14-C22</f>
        <v>0</v>
      </c>
      <c r="D13" s="79">
        <f t="shared" ca="1" si="35"/>
        <v>0</v>
      </c>
      <c r="E13" s="79">
        <f t="shared" ca="1" si="35"/>
        <v>0</v>
      </c>
      <c r="F13" s="79">
        <f t="shared" ca="1" si="35"/>
        <v>0</v>
      </c>
      <c r="G13" s="79">
        <f t="shared" ca="1" si="35"/>
        <v>0</v>
      </c>
      <c r="H13" s="79">
        <f t="shared" ca="1" si="35"/>
        <v>0</v>
      </c>
      <c r="I13" s="79">
        <f t="shared" ca="1" si="35"/>
        <v>0</v>
      </c>
      <c r="J13" s="79">
        <f t="shared" ca="1" si="35"/>
        <v>0</v>
      </c>
      <c r="K13" s="79">
        <f t="shared" ca="1" si="35"/>
        <v>0</v>
      </c>
      <c r="L13" s="79">
        <f t="shared" ca="1" si="35"/>
        <v>0</v>
      </c>
      <c r="M13" s="79">
        <f t="shared" ca="1" si="35"/>
        <v>0</v>
      </c>
      <c r="N13" s="79">
        <f t="shared" ca="1" si="35"/>
        <v>0</v>
      </c>
      <c r="O13" s="79">
        <f t="shared" ca="1" si="35"/>
        <v>0</v>
      </c>
      <c r="P13" s="79">
        <f t="shared" ca="1" si="35"/>
        <v>0</v>
      </c>
      <c r="Q13" s="79">
        <f t="shared" ca="1" si="35"/>
        <v>0</v>
      </c>
      <c r="R13" s="79">
        <f t="shared" ca="1" si="35"/>
        <v>0</v>
      </c>
      <c r="S13" s="79">
        <f t="shared" ca="1" si="35"/>
        <v>0</v>
      </c>
      <c r="T13" s="79">
        <f t="shared" ca="1" si="35"/>
        <v>0</v>
      </c>
      <c r="U13" s="79">
        <f t="shared" ca="1" si="35"/>
        <v>0</v>
      </c>
      <c r="V13" s="79">
        <f t="shared" ca="1" si="35"/>
        <v>0</v>
      </c>
      <c r="W13" s="79">
        <f t="shared" ca="1" si="35"/>
        <v>0</v>
      </c>
      <c r="X13" s="79">
        <f t="shared" ca="1" si="35"/>
        <v>0</v>
      </c>
      <c r="Y13" s="79">
        <f t="shared" ca="1" si="35"/>
        <v>0</v>
      </c>
      <c r="Z13" s="79">
        <f t="shared" ca="1" si="35"/>
        <v>1065941.1011523691</v>
      </c>
      <c r="AA13" s="79">
        <f t="shared" ca="1" si="35"/>
        <v>532970.55057618453</v>
      </c>
      <c r="AB13" s="79">
        <f t="shared" ca="1" si="35"/>
        <v>0</v>
      </c>
      <c r="AC13" s="79">
        <f t="shared" ca="1" si="35"/>
        <v>0</v>
      </c>
      <c r="AD13" s="79">
        <f t="shared" ca="1" si="35"/>
        <v>28898847.631241992</v>
      </c>
      <c r="AE13" s="79">
        <f t="shared" ca="1" si="35"/>
        <v>23119078.104993593</v>
      </c>
      <c r="AF13" s="79">
        <f t="shared" ca="1" si="35"/>
        <v>5635275.2880921904</v>
      </c>
      <c r="AG13" s="79">
        <f t="shared" ca="1" si="35"/>
        <v>0</v>
      </c>
      <c r="AH13" s="79">
        <f t="shared" ca="1" si="35"/>
        <v>51933050.789586</v>
      </c>
      <c r="AI13" s="79">
        <f t="shared" ref="AI13:BN13" ca="1" si="36">AI14-AI22</f>
        <v>56045909.603072979</v>
      </c>
      <c r="AJ13" s="79">
        <f t="shared" ca="1" si="36"/>
        <v>0</v>
      </c>
      <c r="AK13" s="79">
        <f t="shared" ca="1" si="36"/>
        <v>0</v>
      </c>
      <c r="AL13" s="79">
        <f t="shared" ca="1" si="36"/>
        <v>0</v>
      </c>
      <c r="AM13" s="79">
        <f t="shared" ca="1" si="36"/>
        <v>0</v>
      </c>
      <c r="AN13" s="79">
        <f t="shared" ca="1" si="36"/>
        <v>0</v>
      </c>
      <c r="AO13" s="79">
        <f t="shared" ca="1" si="36"/>
        <v>0</v>
      </c>
      <c r="AP13" s="79">
        <f t="shared" ca="1" si="36"/>
        <v>0</v>
      </c>
      <c r="AQ13" s="79">
        <f t="shared" ca="1" si="36"/>
        <v>0</v>
      </c>
      <c r="AR13" s="79">
        <f t="shared" ca="1" si="36"/>
        <v>0</v>
      </c>
      <c r="AS13" s="79">
        <f t="shared" ca="1" si="36"/>
        <v>0</v>
      </c>
      <c r="AT13" s="79">
        <f t="shared" ca="1" si="36"/>
        <v>71050226.140057117</v>
      </c>
      <c r="AU13" s="79">
        <f t="shared" ca="1" si="36"/>
        <v>0</v>
      </c>
      <c r="AV13" s="79">
        <f t="shared" ca="1" si="36"/>
        <v>0</v>
      </c>
      <c r="AW13" s="79">
        <f t="shared" ca="1" si="36"/>
        <v>0</v>
      </c>
      <c r="AX13" s="79">
        <f t="shared" ca="1" si="36"/>
        <v>0</v>
      </c>
      <c r="AY13" s="79">
        <f t="shared" ca="1" si="36"/>
        <v>0</v>
      </c>
      <c r="AZ13" s="79">
        <f t="shared" ca="1" si="36"/>
        <v>193611866.23165566</v>
      </c>
      <c r="BA13" s="79">
        <f t="shared" ca="1" si="36"/>
        <v>0</v>
      </c>
      <c r="BB13" s="79">
        <f t="shared" ca="1" si="36"/>
        <v>9057387.9050526842</v>
      </c>
      <c r="BC13" s="79">
        <f t="shared" ca="1" si="36"/>
        <v>0</v>
      </c>
      <c r="BD13" s="79">
        <f t="shared" ca="1" si="36"/>
        <v>0</v>
      </c>
      <c r="BE13" s="79">
        <f t="shared" ca="1" si="36"/>
        <v>0</v>
      </c>
      <c r="BF13" s="79">
        <f t="shared" ca="1" si="36"/>
        <v>0</v>
      </c>
      <c r="BG13" s="79">
        <f t="shared" ca="1" si="36"/>
        <v>0</v>
      </c>
      <c r="BH13" s="79">
        <f t="shared" ca="1" si="36"/>
        <v>0</v>
      </c>
      <c r="BI13" s="79">
        <f t="shared" ca="1" si="36"/>
        <v>0</v>
      </c>
      <c r="BJ13" s="79">
        <f t="shared" ca="1" si="36"/>
        <v>0</v>
      </c>
      <c r="BK13" s="79">
        <f t="shared" ca="1" si="36"/>
        <v>0</v>
      </c>
      <c r="BL13" s="79">
        <f t="shared" ca="1" si="36"/>
        <v>0</v>
      </c>
      <c r="BM13" s="79">
        <f t="shared" ca="1" si="36"/>
        <v>0</v>
      </c>
      <c r="BN13" s="79">
        <f t="shared" ca="1" si="36"/>
        <v>0</v>
      </c>
      <c r="BO13" s="79">
        <f t="shared" ref="BO13:BW13" ca="1" si="37">BO14-BO22</f>
        <v>0</v>
      </c>
      <c r="BP13" s="79">
        <f t="shared" ca="1" si="37"/>
        <v>0</v>
      </c>
      <c r="BQ13" s="79">
        <f t="shared" ca="1" si="37"/>
        <v>0</v>
      </c>
      <c r="BR13" s="79">
        <f t="shared" ca="1" si="37"/>
        <v>0</v>
      </c>
      <c r="BS13" s="79">
        <f t="shared" ca="1" si="37"/>
        <v>0</v>
      </c>
      <c r="BT13" s="79">
        <f t="shared" ca="1" si="37"/>
        <v>0</v>
      </c>
      <c r="BU13" s="79">
        <f t="shared" ca="1" si="37"/>
        <v>0</v>
      </c>
      <c r="BV13" s="79">
        <f t="shared" ca="1" si="37"/>
        <v>0</v>
      </c>
      <c r="BW13" s="79">
        <f t="shared" ca="1" si="37"/>
        <v>0</v>
      </c>
      <c r="BX13" s="153">
        <f ca="1">SUM(C13:BW13)</f>
        <v>440950553.34548074</v>
      </c>
    </row>
    <row r="14" spans="1:76" x14ac:dyDescent="0.25">
      <c r="B14" t="s">
        <v>38</v>
      </c>
      <c r="C14" s="77">
        <f ca="1">SUMIFS(Model!$V$6:$V$105,Model!$T$6:$T$105,"&gt;"&amp;EOMONTH(C$4-95,0),Model!$T$6:$T$105,"&lt;="&amp;C$4)</f>
        <v>0</v>
      </c>
      <c r="D14" s="77">
        <f ca="1">SUMIFS(Model!$V$6:$V$105,Model!$T$6:$T$105,"&gt;"&amp;EOMONTH(D$4-95,0),Model!$T$6:$T$105,"&lt;="&amp;D$4)</f>
        <v>0</v>
      </c>
      <c r="E14" s="77">
        <f ca="1">SUMIFS(Model!$V$6:$V$105,Model!$T$6:$T$105,"&gt;"&amp;EOMONTH(E$4-95,0),Model!$T$6:$T$105,"&lt;="&amp;E$4)</f>
        <v>0</v>
      </c>
      <c r="F14" s="77">
        <f ca="1">SUMIFS(Model!$V$6:$V$105,Model!$T$6:$T$105,"&gt;"&amp;EOMONTH(F$4-95,0),Model!$T$6:$T$105,"&lt;="&amp;F$4)</f>
        <v>0</v>
      </c>
      <c r="G14" s="77">
        <f ca="1">SUMIFS(Model!$V$6:$V$105,Model!$T$6:$T$105,"&gt;"&amp;EOMONTH(G$4-95,0),Model!$T$6:$T$105,"&lt;="&amp;G$4)</f>
        <v>0</v>
      </c>
      <c r="H14" s="77">
        <f ca="1">SUMIFS(Model!$V$6:$V$105,Model!$T$6:$T$105,"&gt;"&amp;EOMONTH(H$4-95,0),Model!$T$6:$T$105,"&lt;="&amp;H$4)</f>
        <v>0</v>
      </c>
      <c r="I14" s="77">
        <f ca="1">SUMIFS(Model!$V$6:$V$105,Model!$T$6:$T$105,"&gt;"&amp;EOMONTH(I$4-95,0),Model!$T$6:$T$105,"&lt;="&amp;I$4)</f>
        <v>0</v>
      </c>
      <c r="J14" s="77">
        <f ca="1">SUMIFS(Model!$V$6:$V$105,Model!$T$6:$T$105,"&gt;"&amp;EOMONTH(J$4-95,0),Model!$T$6:$T$105,"&lt;="&amp;J$4)</f>
        <v>0</v>
      </c>
      <c r="K14" s="77">
        <f ca="1">SUMIFS(Model!$V$6:$V$105,Model!$T$6:$T$105,"&gt;"&amp;EOMONTH(K$4-95,0),Model!$T$6:$T$105,"&lt;="&amp;K$4)</f>
        <v>0</v>
      </c>
      <c r="L14" s="77">
        <f ca="1">SUMIFS(Model!$V$6:$V$105,Model!$T$6:$T$105,"&gt;"&amp;EOMONTH(L$4-95,0),Model!$T$6:$T$105,"&lt;="&amp;L$4)</f>
        <v>0</v>
      </c>
      <c r="M14" s="77">
        <f ca="1">SUMIFS(Model!$V$6:$V$105,Model!$T$6:$T$105,"&gt;"&amp;EOMONTH(M$4-95,0),Model!$T$6:$T$105,"&lt;="&amp;M$4)</f>
        <v>0</v>
      </c>
      <c r="N14" s="77">
        <f ca="1">SUMIFS(Model!$V$6:$V$105,Model!$T$6:$T$105,"&gt;"&amp;EOMONTH(N$4-95,0),Model!$T$6:$T$105,"&lt;="&amp;N$4)</f>
        <v>0</v>
      </c>
      <c r="O14" s="77">
        <f ca="1">SUMIFS(Model!$V$6:$V$105,Model!$T$6:$T$105,"&gt;"&amp;EOMONTH(O$4-95,0),Model!$T$6:$T$105,"&lt;="&amp;O$4)</f>
        <v>0</v>
      </c>
      <c r="P14" s="77">
        <f ca="1">SUMIFS(Model!$V$6:$V$105,Model!$T$6:$T$105,"&gt;"&amp;EOMONTH(P$4-95,0),Model!$T$6:$T$105,"&lt;="&amp;P$4)</f>
        <v>0</v>
      </c>
      <c r="Q14" s="77">
        <f ca="1">SUMIFS(Model!$V$6:$V$105,Model!$T$6:$T$105,"&gt;"&amp;EOMONTH(Q$4-95,0),Model!$T$6:$T$105,"&lt;="&amp;Q$4)</f>
        <v>0</v>
      </c>
      <c r="R14" s="77">
        <f ca="1">SUMIFS(Model!$V$6:$V$105,Model!$T$6:$T$105,"&gt;"&amp;EOMONTH(R$4-95,0),Model!$T$6:$T$105,"&lt;="&amp;R$4)</f>
        <v>0</v>
      </c>
      <c r="S14" s="77">
        <f ca="1">SUMIFS(Model!$V$6:$V$105,Model!$T$6:$T$105,"&gt;"&amp;EOMONTH(S$4-95,0),Model!$T$6:$T$105,"&lt;="&amp;S$4)</f>
        <v>0</v>
      </c>
      <c r="T14" s="77">
        <f ca="1">SUMIFS(Model!$V$6:$V$105,Model!$T$6:$T$105,"&gt;"&amp;EOMONTH(T$4-95,0),Model!$T$6:$T$105,"&lt;="&amp;T$4)</f>
        <v>0</v>
      </c>
      <c r="U14" s="77">
        <f ca="1">SUMIFS(Model!$V$6:$V$105,Model!$T$6:$T$105,"&gt;"&amp;EOMONTH(U$4-95,0),Model!$T$6:$T$105,"&lt;="&amp;U$4)</f>
        <v>0</v>
      </c>
      <c r="V14" s="77">
        <f ca="1">SUMIFS(Model!$V$6:$V$105,Model!$T$6:$T$105,"&gt;"&amp;EOMONTH(V$4-95,0),Model!$T$6:$T$105,"&lt;="&amp;V$4)</f>
        <v>0</v>
      </c>
      <c r="W14" s="77">
        <f ca="1">SUMIFS(Model!$V$6:$V$105,Model!$T$6:$T$105,"&gt;"&amp;EOMONTH(W$4-95,0),Model!$T$6:$T$105,"&lt;="&amp;W$4)</f>
        <v>0</v>
      </c>
      <c r="X14" s="77">
        <f ca="1">SUMIFS(Model!$V$6:$V$105,Model!$T$6:$T$105,"&gt;"&amp;EOMONTH(X$4-95,0),Model!$T$6:$T$105,"&lt;="&amp;X$4)</f>
        <v>0</v>
      </c>
      <c r="Y14" s="77">
        <f ca="1">SUMIFS(Model!$V$6:$V$105,Model!$T$6:$T$105,"&gt;"&amp;EOMONTH(Y$4-95,0),Model!$T$6:$T$105,"&lt;="&amp;Y$4)</f>
        <v>0</v>
      </c>
      <c r="Z14" s="77">
        <f ca="1">SUMIFS(Model!$V$6:$V$105,Model!$T$6:$T$105,"&gt;"&amp;EOMONTH(Z$4-95,0),Model!$T$6:$T$105,"&lt;="&amp;Z$4)</f>
        <v>1065941.1011523691</v>
      </c>
      <c r="AA14" s="77">
        <f ca="1">SUMIFS(Model!$V$6:$V$105,Model!$T$6:$T$105,"&gt;"&amp;EOMONTH(AA$4-95,0),Model!$T$6:$T$105,"&lt;="&amp;AA$4)</f>
        <v>532970.55057618453</v>
      </c>
      <c r="AB14" s="77">
        <f ca="1">SUMIFS(Model!$V$6:$V$105,Model!$T$6:$T$105,"&gt;"&amp;EOMONTH(AB$4-95,0),Model!$T$6:$T$105,"&lt;="&amp;AB$4)</f>
        <v>0</v>
      </c>
      <c r="AC14" s="77">
        <f ca="1">SUMIFS(Model!$V$6:$V$105,Model!$T$6:$T$105,"&gt;"&amp;EOMONTH(AC$4-95,0),Model!$T$6:$T$105,"&lt;="&amp;AC$4)</f>
        <v>0</v>
      </c>
      <c r="AD14" s="77">
        <f ca="1">SUMIFS(Model!$V$6:$V$105,Model!$T$6:$T$105,"&gt;"&amp;EOMONTH(AD$4-95,0),Model!$T$6:$T$105,"&lt;="&amp;AD$4)</f>
        <v>28898847.631241992</v>
      </c>
      <c r="AE14" s="77">
        <f ca="1">SUMIFS(Model!$V$6:$V$105,Model!$T$6:$T$105,"&gt;"&amp;EOMONTH(AE$4-95,0),Model!$T$6:$T$105,"&lt;="&amp;AE$4)</f>
        <v>23119078.104993593</v>
      </c>
      <c r="AF14" s="77">
        <f ca="1">SUMIFS(Model!$V$6:$V$105,Model!$T$6:$T$105,"&gt;"&amp;EOMONTH(AF$4-95,0),Model!$T$6:$T$105,"&lt;="&amp;AF$4)</f>
        <v>5635275.2880921904</v>
      </c>
      <c r="AG14" s="77">
        <f ca="1">SUMIFS(Model!$V$6:$V$105,Model!$T$6:$T$105,"&gt;"&amp;EOMONTH(AG$4-95,0),Model!$T$6:$T$105,"&lt;="&amp;AG$4)</f>
        <v>0</v>
      </c>
      <c r="AH14" s="77">
        <f ca="1">SUMIFS(Model!$V$6:$V$105,Model!$T$6:$T$105,"&gt;"&amp;EOMONTH(AH$4-95,0),Model!$T$6:$T$105,"&lt;="&amp;AH$4)</f>
        <v>54979341.655996583</v>
      </c>
      <c r="AI14" s="77">
        <f ca="1">SUMIFS(Model!$V$6:$V$105,Model!$T$6:$T$105,"&gt;"&amp;EOMONTH(AI$4-95,0),Model!$T$6:$T$105,"&lt;="&amp;AI$4)</f>
        <v>70057387.003841221</v>
      </c>
      <c r="AJ14" s="77">
        <f ca="1">SUMIFS(Model!$V$6:$V$105,Model!$T$6:$T$105,"&gt;"&amp;EOMONTH(AJ$4-95,0),Model!$T$6:$T$105,"&lt;="&amp;AJ$4)</f>
        <v>0</v>
      </c>
      <c r="AK14" s="77">
        <f ca="1">SUMIFS(Model!$V$6:$V$105,Model!$T$6:$T$105,"&gt;"&amp;EOMONTH(AK$4-95,0),Model!$T$6:$T$105,"&lt;="&amp;AK$4)</f>
        <v>0</v>
      </c>
      <c r="AL14" s="77">
        <f ca="1">SUMIFS(Model!$V$6:$V$105,Model!$T$6:$T$105,"&gt;"&amp;EOMONTH(AL$4-95,0),Model!$T$6:$T$105,"&lt;="&amp;AL$4)</f>
        <v>0</v>
      </c>
      <c r="AM14" s="77">
        <f ca="1">SUMIFS(Model!$V$6:$V$105,Model!$T$6:$T$105,"&gt;"&amp;EOMONTH(AM$4-95,0),Model!$T$6:$T$105,"&lt;="&amp;AM$4)</f>
        <v>0</v>
      </c>
      <c r="AN14" s="77">
        <f ca="1">SUMIFS(Model!$V$6:$V$105,Model!$T$6:$T$105,"&gt;"&amp;EOMONTH(AN$4-95,0),Model!$T$6:$T$105,"&lt;="&amp;AN$4)</f>
        <v>0</v>
      </c>
      <c r="AO14" s="77">
        <f ca="1">SUMIFS(Model!$V$6:$V$105,Model!$T$6:$T$105,"&gt;"&amp;EOMONTH(AO$4-95,0),Model!$T$6:$T$105,"&lt;="&amp;AO$4)</f>
        <v>0</v>
      </c>
      <c r="AP14" s="77">
        <f ca="1">SUMIFS(Model!$V$6:$V$105,Model!$T$6:$T$105,"&gt;"&amp;EOMONTH(AP$4-95,0),Model!$T$6:$T$105,"&lt;="&amp;AP$4)</f>
        <v>0</v>
      </c>
      <c r="AQ14" s="77">
        <f ca="1">SUMIFS(Model!$V$6:$V$105,Model!$T$6:$T$105,"&gt;"&amp;EOMONTH(AQ$4-95,0),Model!$T$6:$T$105,"&lt;="&amp;AQ$4)</f>
        <v>0</v>
      </c>
      <c r="AR14" s="77">
        <f ca="1">SUMIFS(Model!$V$6:$V$105,Model!$T$6:$T$105,"&gt;"&amp;EOMONTH(AR$4-95,0),Model!$T$6:$T$105,"&lt;="&amp;AR$4)</f>
        <v>0</v>
      </c>
      <c r="AS14" s="77">
        <f ca="1">SUMIFS(Model!$V$6:$V$105,Model!$T$6:$T$105,"&gt;"&amp;EOMONTH(AS$4-95,0),Model!$T$6:$T$105,"&lt;="&amp;AS$4)</f>
        <v>0</v>
      </c>
      <c r="AT14" s="77">
        <f ca="1">SUMIFS(Model!$V$6:$V$105,Model!$T$6:$T$105,"&gt;"&amp;EOMONTH(AT$4-95,0),Model!$T$6:$T$105,"&lt;="&amp;AT$4)</f>
        <v>88812782.675071403</v>
      </c>
      <c r="AU14" s="77">
        <f ca="1">SUMIFS(Model!$V$6:$V$105,Model!$T$6:$T$105,"&gt;"&amp;EOMONTH(AU$4-95,0),Model!$T$6:$T$105,"&lt;="&amp;AU$4)</f>
        <v>0</v>
      </c>
      <c r="AV14" s="77">
        <f ca="1">SUMIFS(Model!$V$6:$V$105,Model!$T$6:$T$105,"&gt;"&amp;EOMONTH(AV$4-95,0),Model!$T$6:$T$105,"&lt;="&amp;AV$4)</f>
        <v>0</v>
      </c>
      <c r="AW14" s="77">
        <f ca="1">SUMIFS(Model!$V$6:$V$105,Model!$T$6:$T$105,"&gt;"&amp;EOMONTH(AW$4-95,0),Model!$T$6:$T$105,"&lt;="&amp;AW$4)</f>
        <v>0</v>
      </c>
      <c r="AX14" s="77">
        <f ca="1">SUMIFS(Model!$V$6:$V$105,Model!$T$6:$T$105,"&gt;"&amp;EOMONTH(AX$4-95,0),Model!$T$6:$T$105,"&lt;="&amp;AX$4)</f>
        <v>0</v>
      </c>
      <c r="AY14" s="77">
        <f ca="1">SUMIFS(Model!$V$6:$V$105,Model!$T$6:$T$105,"&gt;"&amp;EOMONTH(AY$4-95,0),Model!$T$6:$T$105,"&lt;="&amp;AY$4)</f>
        <v>0</v>
      </c>
      <c r="AZ14" s="77">
        <f ca="1">SUMIFS(Model!$V$6:$V$105,Model!$T$6:$T$105,"&gt;"&amp;EOMONTH(AZ$4-95,0),Model!$T$6:$T$105,"&lt;="&amp;AZ$4)</f>
        <v>242014832.78956959</v>
      </c>
      <c r="BA14" s="77">
        <f ca="1">SUMIFS(Model!$V$6:$V$105,Model!$T$6:$T$105,"&gt;"&amp;EOMONTH(BA$4-95,0),Model!$T$6:$T$105,"&lt;="&amp;BA$4)</f>
        <v>0</v>
      </c>
      <c r="BB14" s="77">
        <f ca="1">SUMIFS(Model!$V$6:$V$105,Model!$T$6:$T$105,"&gt;"&amp;EOMONTH(BB$4-95,0),Model!$T$6:$T$105,"&lt;="&amp;BB$4)</f>
        <v>11321734.881315863</v>
      </c>
      <c r="BC14" s="77">
        <f ca="1">SUMIFS(Model!$V$6:$V$105,Model!$T$6:$T$105,"&gt;"&amp;EOMONTH(BC$4-95,0),Model!$T$6:$T$105,"&lt;="&amp;BC$4)</f>
        <v>0</v>
      </c>
      <c r="BD14" s="77">
        <f ca="1">SUMIFS(Model!$V$6:$V$105,Model!$T$6:$T$105,"&gt;"&amp;EOMONTH(BD$4-95,0),Model!$T$6:$T$105,"&lt;="&amp;BD$4)</f>
        <v>0</v>
      </c>
      <c r="BE14" s="77">
        <f ca="1">SUMIFS(Model!$V$6:$V$105,Model!$T$6:$T$105,"&gt;"&amp;EOMONTH(BE$4-95,0),Model!$T$6:$T$105,"&lt;="&amp;BE$4)</f>
        <v>0</v>
      </c>
      <c r="BF14" s="77">
        <f ca="1">SUMIFS(Model!$V$6:$V$105,Model!$T$6:$T$105,"&gt;"&amp;EOMONTH(BF$4-95,0),Model!$T$6:$T$105,"&lt;="&amp;BF$4)</f>
        <v>0</v>
      </c>
      <c r="BG14" s="77">
        <f ca="1">SUMIFS(Model!$V$6:$V$105,Model!$T$6:$T$105,"&gt;"&amp;EOMONTH(BG$4-95,0),Model!$T$6:$T$105,"&lt;="&amp;BG$4)</f>
        <v>0</v>
      </c>
      <c r="BH14" s="77">
        <f ca="1">SUMIFS(Model!$V$6:$V$105,Model!$T$6:$T$105,"&gt;"&amp;EOMONTH(BH$4-95,0),Model!$T$6:$T$105,"&lt;="&amp;BH$4)</f>
        <v>0</v>
      </c>
      <c r="BI14" s="77">
        <f ca="1">SUMIFS(Model!$V$6:$V$105,Model!$T$6:$T$105,"&gt;"&amp;EOMONTH(BI$4-95,0),Model!$T$6:$T$105,"&lt;="&amp;BI$4)</f>
        <v>0</v>
      </c>
      <c r="BJ14" s="77">
        <f ca="1">SUMIFS(Model!$V$6:$V$105,Model!$T$6:$T$105,"&gt;"&amp;EOMONTH(BJ$4-95,0),Model!$T$6:$T$105,"&lt;="&amp;BJ$4)</f>
        <v>0</v>
      </c>
      <c r="BK14" s="77">
        <f ca="1">SUMIFS(Model!$V$6:$V$105,Model!$T$6:$T$105,"&gt;"&amp;EOMONTH(BK$4-95,0),Model!$T$6:$T$105,"&lt;="&amp;BK$4)</f>
        <v>0</v>
      </c>
      <c r="BL14" s="77">
        <f ca="1">SUMIFS(Model!$V$6:$V$105,Model!$T$6:$T$105,"&gt;"&amp;EOMONTH(BL$4-95,0),Model!$T$6:$T$105,"&lt;="&amp;BL$4)</f>
        <v>0</v>
      </c>
      <c r="BM14" s="77">
        <f ca="1">SUMIFS(Model!$V$6:$V$105,Model!$T$6:$T$105,"&gt;"&amp;EOMONTH(BM$4-95,0),Model!$T$6:$T$105,"&lt;="&amp;BM$4)</f>
        <v>0</v>
      </c>
      <c r="BN14" s="77">
        <f ca="1">SUMIFS(Model!$V$6:$V$105,Model!$T$6:$T$105,"&gt;"&amp;EOMONTH(BN$4-95,0),Model!$T$6:$T$105,"&lt;="&amp;BN$4)</f>
        <v>0</v>
      </c>
      <c r="BO14" s="77">
        <f ca="1">SUMIFS(Model!$V$6:$V$105,Model!$T$6:$T$105,"&gt;"&amp;EOMONTH(BO$4-95,0),Model!$T$6:$T$105,"&lt;="&amp;BO$4)</f>
        <v>0</v>
      </c>
      <c r="BP14" s="77">
        <f ca="1">SUMIFS(Model!$V$6:$V$105,Model!$T$6:$T$105,"&gt;"&amp;EOMONTH(BP$4-95,0),Model!$T$6:$T$105,"&lt;="&amp;BP$4)</f>
        <v>0</v>
      </c>
      <c r="BQ14" s="77">
        <f ca="1">SUMIFS(Model!$V$6:$V$105,Model!$T$6:$T$105,"&gt;"&amp;EOMONTH(BQ$4-95,0),Model!$T$6:$T$105,"&lt;="&amp;BQ$4)</f>
        <v>0</v>
      </c>
      <c r="BR14" s="77">
        <f ca="1">SUMIFS(Model!$V$6:$V$105,Model!$T$6:$T$105,"&gt;"&amp;EOMONTH(BR$4-95,0),Model!$T$6:$T$105,"&lt;="&amp;BR$4)</f>
        <v>0</v>
      </c>
      <c r="BS14" s="77">
        <f ca="1">SUMIFS(Model!$V$6:$V$105,Model!$T$6:$T$105,"&gt;"&amp;EOMONTH(BS$4-95,0),Model!$T$6:$T$105,"&lt;="&amp;BS$4)</f>
        <v>0</v>
      </c>
      <c r="BT14" s="77">
        <f ca="1">SUMIFS(Model!$V$6:$V$105,Model!$T$6:$T$105,"&gt;"&amp;EOMONTH(BT$4-95,0),Model!$T$6:$T$105,"&lt;="&amp;BT$4)</f>
        <v>0</v>
      </c>
      <c r="BU14" s="77">
        <f ca="1">SUMIFS(Model!$V$6:$V$105,Model!$T$6:$T$105,"&gt;"&amp;EOMONTH(BU$4-95,0),Model!$T$6:$T$105,"&lt;="&amp;BU$4)</f>
        <v>0</v>
      </c>
      <c r="BV14" s="77">
        <f ca="1">SUMIFS(Model!$V$6:$V$105,Model!$T$6:$T$105,"&gt;"&amp;EOMONTH(BV$4-95,0),Model!$T$6:$T$105,"&lt;="&amp;BV$4)</f>
        <v>0</v>
      </c>
      <c r="BW14" s="77">
        <f ca="1">SUMIFS(Model!$V$6:$V$105,Model!$T$6:$T$105,"&gt;"&amp;EOMONTH(BW$4-95,0),Model!$T$6:$T$105,"&lt;="&amp;BW$4)</f>
        <v>0</v>
      </c>
      <c r="BX14" s="151">
        <f ca="1">SUM(C14:BW14)</f>
        <v>526438191.68185097</v>
      </c>
    </row>
    <row r="15" spans="1:76" x14ac:dyDescent="0.25">
      <c r="C15" s="76"/>
      <c r="D15" s="78"/>
      <c r="E15" s="78"/>
      <c r="F15" s="78"/>
      <c r="G15" s="78"/>
      <c r="H15" s="78"/>
      <c r="I15" s="78"/>
      <c r="J15" s="78"/>
      <c r="K15" s="78"/>
      <c r="L15" s="78"/>
      <c r="M15" s="78"/>
      <c r="N15" s="78"/>
      <c r="O15" s="78"/>
      <c r="P15" s="78"/>
      <c r="Q15" s="78"/>
      <c r="R15" s="78"/>
      <c r="S15" s="78"/>
      <c r="T15" s="78"/>
      <c r="U15" s="78"/>
      <c r="V15" s="78"/>
      <c r="W15" s="78"/>
      <c r="X15" s="78"/>
      <c r="Y15" s="78"/>
      <c r="Z15" s="78"/>
      <c r="AA15" s="78"/>
      <c r="AB15" s="78"/>
      <c r="AC15" s="78"/>
      <c r="AD15" s="78"/>
      <c r="AE15" s="78"/>
      <c r="AF15" s="78"/>
      <c r="AG15" s="78"/>
      <c r="AH15" s="78"/>
      <c r="AI15" s="78"/>
      <c r="AJ15" s="78"/>
      <c r="AK15" s="78"/>
      <c r="AL15" s="78"/>
      <c r="AM15" s="78"/>
      <c r="AN15" s="78"/>
      <c r="AO15" s="78"/>
      <c r="AP15" s="78"/>
      <c r="AQ15" s="78"/>
      <c r="AR15" s="78"/>
      <c r="AS15" s="78"/>
      <c r="AT15" s="78"/>
      <c r="AU15" s="78"/>
      <c r="AV15" s="78"/>
      <c r="AW15" s="78"/>
      <c r="AX15" s="78"/>
      <c r="AY15" s="78"/>
      <c r="AZ15" s="78"/>
      <c r="BA15" s="78"/>
      <c r="BB15" s="78"/>
      <c r="BC15" s="78"/>
      <c r="BD15" s="78"/>
      <c r="BE15" s="78"/>
      <c r="BF15" s="78"/>
      <c r="BG15" s="78"/>
      <c r="BH15" s="78"/>
      <c r="BI15" s="78"/>
      <c r="BJ15" s="78"/>
      <c r="BK15" s="78"/>
      <c r="BL15" s="78"/>
      <c r="BM15" s="78"/>
      <c r="BN15" s="78"/>
      <c r="BO15" s="78"/>
      <c r="BP15" s="78"/>
      <c r="BQ15" s="78"/>
      <c r="BR15" s="78"/>
      <c r="BS15" s="78"/>
      <c r="BT15" s="78"/>
      <c r="BU15" s="78"/>
      <c r="BV15" s="78"/>
      <c r="BW15" s="78"/>
      <c r="BX15" s="152"/>
    </row>
    <row r="16" spans="1:76" x14ac:dyDescent="0.25">
      <c r="B16" t="s">
        <v>40</v>
      </c>
      <c r="C16" s="79">
        <f t="shared" ref="C16:AH16" ca="1" si="38">C14+C11</f>
        <v>0</v>
      </c>
      <c r="D16" s="79">
        <f t="shared" ca="1" si="38"/>
        <v>-6000000</v>
      </c>
      <c r="E16" s="79">
        <f t="shared" ca="1" si="38"/>
        <v>-6000000</v>
      </c>
      <c r="F16" s="79">
        <f t="shared" ca="1" si="38"/>
        <v>-6000000</v>
      </c>
      <c r="G16" s="79">
        <f t="shared" ca="1" si="38"/>
        <v>-6000000</v>
      </c>
      <c r="H16" s="79">
        <f t="shared" ca="1" si="38"/>
        <v>-6000000</v>
      </c>
      <c r="I16" s="79">
        <f t="shared" ca="1" si="38"/>
        <v>-6000000</v>
      </c>
      <c r="J16" s="79">
        <f t="shared" ca="1" si="38"/>
        <v>-12545454.545454545</v>
      </c>
      <c r="K16" s="79">
        <f t="shared" ca="1" si="38"/>
        <v>-12545454.545454545</v>
      </c>
      <c r="L16" s="79">
        <f t="shared" ca="1" si="38"/>
        <v>-8545454.5454545449</v>
      </c>
      <c r="M16" s="79">
        <f t="shared" ca="1" si="38"/>
        <v>-6545454.5454545449</v>
      </c>
      <c r="N16" s="79">
        <f t="shared" ca="1" si="38"/>
        <v>0</v>
      </c>
      <c r="O16" s="79">
        <f t="shared" ca="1" si="38"/>
        <v>0</v>
      </c>
      <c r="P16" s="79">
        <f t="shared" ca="1" si="38"/>
        <v>-4165909.0909090969</v>
      </c>
      <c r="Q16" s="79">
        <f t="shared" ca="1" si="38"/>
        <v>-2777272.7272727313</v>
      </c>
      <c r="R16" s="79">
        <f t="shared" ca="1" si="38"/>
        <v>0</v>
      </c>
      <c r="S16" s="79">
        <f t="shared" ca="1" si="38"/>
        <v>0</v>
      </c>
      <c r="T16" s="79">
        <f t="shared" ca="1" si="38"/>
        <v>0</v>
      </c>
      <c r="U16" s="79">
        <f t="shared" ca="1" si="38"/>
        <v>0</v>
      </c>
      <c r="V16" s="79">
        <f t="shared" ca="1" si="38"/>
        <v>0</v>
      </c>
      <c r="W16" s="79">
        <f t="shared" ca="1" si="38"/>
        <v>0</v>
      </c>
      <c r="X16" s="79">
        <f t="shared" ca="1" si="38"/>
        <v>0</v>
      </c>
      <c r="Y16" s="79">
        <f t="shared" ca="1" si="38"/>
        <v>0</v>
      </c>
      <c r="Z16" s="79">
        <f t="shared" ca="1" si="38"/>
        <v>1065941.1011523691</v>
      </c>
      <c r="AA16" s="79">
        <f t="shared" ca="1" si="38"/>
        <v>532970.55057618453</v>
      </c>
      <c r="AB16" s="79">
        <f t="shared" ca="1" si="38"/>
        <v>0</v>
      </c>
      <c r="AC16" s="79">
        <f t="shared" ca="1" si="38"/>
        <v>0</v>
      </c>
      <c r="AD16" s="79">
        <f t="shared" ca="1" si="38"/>
        <v>28898847.631241992</v>
      </c>
      <c r="AE16" s="79">
        <f t="shared" ca="1" si="38"/>
        <v>23119078.104993593</v>
      </c>
      <c r="AF16" s="79">
        <f t="shared" ca="1" si="38"/>
        <v>5635275.2880921904</v>
      </c>
      <c r="AG16" s="79">
        <f t="shared" ca="1" si="38"/>
        <v>0</v>
      </c>
      <c r="AH16" s="79">
        <f t="shared" ca="1" si="38"/>
        <v>54979341.655996583</v>
      </c>
      <c r="AI16" s="79">
        <f t="shared" ref="AI16:BN16" ca="1" si="39">AI14+AI11</f>
        <v>70057387.003841221</v>
      </c>
      <c r="AJ16" s="79">
        <f t="shared" ca="1" si="39"/>
        <v>0</v>
      </c>
      <c r="AK16" s="79">
        <f t="shared" ca="1" si="39"/>
        <v>0</v>
      </c>
      <c r="AL16" s="79">
        <f t="shared" ca="1" si="39"/>
        <v>0</v>
      </c>
      <c r="AM16" s="79">
        <f t="shared" ca="1" si="39"/>
        <v>0</v>
      </c>
      <c r="AN16" s="79">
        <f t="shared" ca="1" si="39"/>
        <v>0</v>
      </c>
      <c r="AO16" s="79">
        <f t="shared" ca="1" si="39"/>
        <v>0</v>
      </c>
      <c r="AP16" s="79">
        <f t="shared" ca="1" si="39"/>
        <v>0</v>
      </c>
      <c r="AQ16" s="79">
        <f t="shared" ca="1" si="39"/>
        <v>0</v>
      </c>
      <c r="AR16" s="79">
        <f t="shared" ca="1" si="39"/>
        <v>0</v>
      </c>
      <c r="AS16" s="79">
        <f t="shared" ca="1" si="39"/>
        <v>0</v>
      </c>
      <c r="AT16" s="79">
        <f t="shared" ca="1" si="39"/>
        <v>88812782.675071403</v>
      </c>
      <c r="AU16" s="79">
        <f t="shared" ca="1" si="39"/>
        <v>0</v>
      </c>
      <c r="AV16" s="79">
        <f t="shared" ca="1" si="39"/>
        <v>0</v>
      </c>
      <c r="AW16" s="79">
        <f t="shared" ca="1" si="39"/>
        <v>0</v>
      </c>
      <c r="AX16" s="79">
        <f t="shared" ca="1" si="39"/>
        <v>0</v>
      </c>
      <c r="AY16" s="79">
        <f t="shared" ca="1" si="39"/>
        <v>0</v>
      </c>
      <c r="AZ16" s="79">
        <f t="shared" ca="1" si="39"/>
        <v>242014832.78956959</v>
      </c>
      <c r="BA16" s="79">
        <f t="shared" ca="1" si="39"/>
        <v>0</v>
      </c>
      <c r="BB16" s="79">
        <f t="shared" ca="1" si="39"/>
        <v>11321734.881315863</v>
      </c>
      <c r="BC16" s="79">
        <f t="shared" ca="1" si="39"/>
        <v>0</v>
      </c>
      <c r="BD16" s="79">
        <f t="shared" ca="1" si="39"/>
        <v>0</v>
      </c>
      <c r="BE16" s="79">
        <f t="shared" ca="1" si="39"/>
        <v>0</v>
      </c>
      <c r="BF16" s="79">
        <f t="shared" ca="1" si="39"/>
        <v>0</v>
      </c>
      <c r="BG16" s="79">
        <f t="shared" ca="1" si="39"/>
        <v>0</v>
      </c>
      <c r="BH16" s="79">
        <f t="shared" ca="1" si="39"/>
        <v>0</v>
      </c>
      <c r="BI16" s="79">
        <f t="shared" ca="1" si="39"/>
        <v>0</v>
      </c>
      <c r="BJ16" s="79">
        <f t="shared" ca="1" si="39"/>
        <v>0</v>
      </c>
      <c r="BK16" s="79">
        <f t="shared" ca="1" si="39"/>
        <v>0</v>
      </c>
      <c r="BL16" s="79">
        <f t="shared" ca="1" si="39"/>
        <v>0</v>
      </c>
      <c r="BM16" s="79">
        <f t="shared" ca="1" si="39"/>
        <v>0</v>
      </c>
      <c r="BN16" s="79">
        <f t="shared" ca="1" si="39"/>
        <v>0</v>
      </c>
      <c r="BO16" s="79">
        <f t="shared" ref="BO16:BW16" ca="1" si="40">BO14+BO11</f>
        <v>0</v>
      </c>
      <c r="BP16" s="79">
        <f t="shared" ca="1" si="40"/>
        <v>0</v>
      </c>
      <c r="BQ16" s="79">
        <f t="shared" ca="1" si="40"/>
        <v>0</v>
      </c>
      <c r="BR16" s="79">
        <f t="shared" ca="1" si="40"/>
        <v>0</v>
      </c>
      <c r="BS16" s="79">
        <f t="shared" ca="1" si="40"/>
        <v>0</v>
      </c>
      <c r="BT16" s="79">
        <f t="shared" ca="1" si="40"/>
        <v>0</v>
      </c>
      <c r="BU16" s="79">
        <f t="shared" ca="1" si="40"/>
        <v>0</v>
      </c>
      <c r="BV16" s="79">
        <f t="shared" ca="1" si="40"/>
        <v>0</v>
      </c>
      <c r="BW16" s="79">
        <f t="shared" ca="1" si="40"/>
        <v>0</v>
      </c>
      <c r="BX16" s="153">
        <f ca="1">SUM(C16:BW16)</f>
        <v>443313191.68185097</v>
      </c>
    </row>
    <row r="17" spans="1:76" x14ac:dyDescent="0.25">
      <c r="B17" t="s">
        <v>39</v>
      </c>
      <c r="C17" s="79">
        <f t="shared" ref="C17:AH17" ca="1" si="41">C10+C13</f>
        <v>0</v>
      </c>
      <c r="D17" s="79">
        <f t="shared" ca="1" si="41"/>
        <v>-6525000</v>
      </c>
      <c r="E17" s="79">
        <f t="shared" ca="1" si="41"/>
        <v>-6525000</v>
      </c>
      <c r="F17" s="79">
        <f t="shared" ca="1" si="41"/>
        <v>-6525000</v>
      </c>
      <c r="G17" s="79">
        <f t="shared" ca="1" si="41"/>
        <v>-6525000</v>
      </c>
      <c r="H17" s="79">
        <f t="shared" ca="1" si="41"/>
        <v>-6525000</v>
      </c>
      <c r="I17" s="79">
        <f t="shared" ca="1" si="41"/>
        <v>-6525000</v>
      </c>
      <c r="J17" s="79">
        <f t="shared" ca="1" si="41"/>
        <v>-13070454.545454545</v>
      </c>
      <c r="K17" s="79">
        <f t="shared" ca="1" si="41"/>
        <v>-13070454.545454545</v>
      </c>
      <c r="L17" s="79">
        <f t="shared" ca="1" si="41"/>
        <v>-9070454.5454545449</v>
      </c>
      <c r="M17" s="79">
        <f t="shared" ca="1" si="41"/>
        <v>-7070454.5454545449</v>
      </c>
      <c r="N17" s="79">
        <f t="shared" ca="1" si="41"/>
        <v>-525000</v>
      </c>
      <c r="O17" s="79">
        <f t="shared" ca="1" si="41"/>
        <v>-525000</v>
      </c>
      <c r="P17" s="79">
        <f t="shared" ca="1" si="41"/>
        <v>-4690909.0909090973</v>
      </c>
      <c r="Q17" s="79">
        <f t="shared" ca="1" si="41"/>
        <v>-3302272.7272727313</v>
      </c>
      <c r="R17" s="79">
        <f t="shared" ca="1" si="41"/>
        <v>-525000</v>
      </c>
      <c r="S17" s="79">
        <f t="shared" ca="1" si="41"/>
        <v>-525000</v>
      </c>
      <c r="T17" s="79">
        <f t="shared" ca="1" si="41"/>
        <v>-525000</v>
      </c>
      <c r="U17" s="79">
        <f t="shared" ca="1" si="41"/>
        <v>-525000</v>
      </c>
      <c r="V17" s="79">
        <f t="shared" ca="1" si="41"/>
        <v>-525000</v>
      </c>
      <c r="W17" s="79">
        <f t="shared" ca="1" si="41"/>
        <v>-525000</v>
      </c>
      <c r="X17" s="79">
        <f t="shared" ca="1" si="41"/>
        <v>-493750</v>
      </c>
      <c r="Y17" s="79">
        <f t="shared" ca="1" si="41"/>
        <v>-462499.99999999994</v>
      </c>
      <c r="Z17" s="79">
        <f t="shared" ca="1" si="41"/>
        <v>634691.10115236905</v>
      </c>
      <c r="AA17" s="79">
        <f t="shared" ca="1" si="41"/>
        <v>132970.55057618459</v>
      </c>
      <c r="AB17" s="79">
        <f t="shared" ca="1" si="41"/>
        <v>-368749.99999999994</v>
      </c>
      <c r="AC17" s="79">
        <f t="shared" ca="1" si="41"/>
        <v>-337500</v>
      </c>
      <c r="AD17" s="79">
        <f t="shared" ca="1" si="41"/>
        <v>28592597.631241992</v>
      </c>
      <c r="AE17" s="79">
        <f t="shared" ca="1" si="41"/>
        <v>22844078.104993593</v>
      </c>
      <c r="AF17" s="79">
        <f t="shared" ca="1" si="41"/>
        <v>5360275.2880921904</v>
      </c>
      <c r="AG17" s="79">
        <f t="shared" ca="1" si="41"/>
        <v>-275000</v>
      </c>
      <c r="AH17" s="79">
        <f t="shared" ca="1" si="41"/>
        <v>51658050.789586</v>
      </c>
      <c r="AI17" s="79">
        <f t="shared" ref="AI17:BN17" ca="1" si="42">AI10+AI13</f>
        <v>55770909.603072979</v>
      </c>
      <c r="AJ17" s="79">
        <f t="shared" ca="1" si="42"/>
        <v>-275000</v>
      </c>
      <c r="AK17" s="79">
        <f t="shared" ca="1" si="42"/>
        <v>-275000</v>
      </c>
      <c r="AL17" s="79">
        <f t="shared" ca="1" si="42"/>
        <v>-275000</v>
      </c>
      <c r="AM17" s="79">
        <f t="shared" ca="1" si="42"/>
        <v>-275000</v>
      </c>
      <c r="AN17" s="79">
        <f t="shared" ca="1" si="42"/>
        <v>-275000</v>
      </c>
      <c r="AO17" s="79">
        <f t="shared" ca="1" si="42"/>
        <v>-275000</v>
      </c>
      <c r="AP17" s="79">
        <f t="shared" ca="1" si="42"/>
        <v>-275000</v>
      </c>
      <c r="AQ17" s="79">
        <f t="shared" ca="1" si="42"/>
        <v>-275000</v>
      </c>
      <c r="AR17" s="79">
        <f t="shared" ca="1" si="42"/>
        <v>0</v>
      </c>
      <c r="AS17" s="79">
        <f t="shared" ca="1" si="42"/>
        <v>0</v>
      </c>
      <c r="AT17" s="79">
        <f t="shared" ca="1" si="42"/>
        <v>71050226.140057117</v>
      </c>
      <c r="AU17" s="79">
        <f t="shared" ca="1" si="42"/>
        <v>0</v>
      </c>
      <c r="AV17" s="79">
        <f t="shared" ca="1" si="42"/>
        <v>0</v>
      </c>
      <c r="AW17" s="79">
        <f t="shared" ca="1" si="42"/>
        <v>0</v>
      </c>
      <c r="AX17" s="79">
        <f t="shared" ca="1" si="42"/>
        <v>0</v>
      </c>
      <c r="AY17" s="79">
        <f t="shared" ca="1" si="42"/>
        <v>0</v>
      </c>
      <c r="AZ17" s="79">
        <f t="shared" ca="1" si="42"/>
        <v>193611866.23165566</v>
      </c>
      <c r="BA17" s="79">
        <f t="shared" ca="1" si="42"/>
        <v>0</v>
      </c>
      <c r="BB17" s="79">
        <f t="shared" ca="1" si="42"/>
        <v>9057387.9050526842</v>
      </c>
      <c r="BC17" s="79">
        <f t="shared" ca="1" si="42"/>
        <v>0</v>
      </c>
      <c r="BD17" s="79">
        <f t="shared" ca="1" si="42"/>
        <v>0</v>
      </c>
      <c r="BE17" s="79">
        <f t="shared" ca="1" si="42"/>
        <v>0</v>
      </c>
      <c r="BF17" s="79">
        <f t="shared" ca="1" si="42"/>
        <v>0</v>
      </c>
      <c r="BG17" s="79">
        <f t="shared" ca="1" si="42"/>
        <v>0</v>
      </c>
      <c r="BH17" s="79">
        <f t="shared" ca="1" si="42"/>
        <v>0</v>
      </c>
      <c r="BI17" s="79">
        <f t="shared" ca="1" si="42"/>
        <v>0</v>
      </c>
      <c r="BJ17" s="79">
        <f t="shared" ca="1" si="42"/>
        <v>0</v>
      </c>
      <c r="BK17" s="79">
        <f t="shared" ca="1" si="42"/>
        <v>0</v>
      </c>
      <c r="BL17" s="79">
        <f t="shared" ca="1" si="42"/>
        <v>0</v>
      </c>
      <c r="BM17" s="79">
        <f t="shared" ca="1" si="42"/>
        <v>0</v>
      </c>
      <c r="BN17" s="79">
        <f t="shared" ca="1" si="42"/>
        <v>0</v>
      </c>
      <c r="BO17" s="79">
        <f t="shared" ref="BO17:BW17" ca="1" si="43">BO10+BO13</f>
        <v>0</v>
      </c>
      <c r="BP17" s="79">
        <f t="shared" ca="1" si="43"/>
        <v>0</v>
      </c>
      <c r="BQ17" s="79">
        <f t="shared" ca="1" si="43"/>
        <v>0</v>
      </c>
      <c r="BR17" s="79">
        <f t="shared" ca="1" si="43"/>
        <v>0</v>
      </c>
      <c r="BS17" s="79">
        <f t="shared" ca="1" si="43"/>
        <v>0</v>
      </c>
      <c r="BT17" s="79">
        <f t="shared" ca="1" si="43"/>
        <v>0</v>
      </c>
      <c r="BU17" s="79">
        <f t="shared" ca="1" si="43"/>
        <v>0</v>
      </c>
      <c r="BV17" s="79">
        <f t="shared" ca="1" si="43"/>
        <v>0</v>
      </c>
      <c r="BW17" s="79">
        <f t="shared" ca="1" si="43"/>
        <v>0</v>
      </c>
      <c r="BX17" s="153">
        <f ca="1">SUM(C17:BW17)</f>
        <v>340950553.34548074</v>
      </c>
    </row>
    <row r="19" spans="1:76" s="138" customFormat="1" x14ac:dyDescent="0.25">
      <c r="A19" s="2"/>
      <c r="B19" s="138" t="s">
        <v>118</v>
      </c>
      <c r="C19" s="155">
        <f ca="1">MIN(Model!$I$5*Model!$E$11,SUM($C$13:C13))</f>
        <v>0</v>
      </c>
      <c r="D19" s="155">
        <f ca="1">MIN(Model!$I$5*Model!$E$11,SUM($C$13:D13))</f>
        <v>0</v>
      </c>
      <c r="E19" s="155">
        <f ca="1">MIN(Model!$I$5*Model!$E$11,SUM($C$13:E13))</f>
        <v>0</v>
      </c>
      <c r="F19" s="155">
        <f ca="1">MIN(Model!$I$5*Model!$E$11,SUM($C$13:F13))</f>
        <v>0</v>
      </c>
      <c r="G19" s="155">
        <f ca="1">MIN(Model!$I$5*Model!$E$11,SUM($C$13:G13))</f>
        <v>0</v>
      </c>
      <c r="H19" s="155">
        <f ca="1">MIN(Model!$I$5*Model!$E$11,SUM($C$13:H13))</f>
        <v>0</v>
      </c>
      <c r="I19" s="155">
        <f ca="1">MIN(Model!$I$5*Model!$E$11,SUM($C$13:I13))</f>
        <v>0</v>
      </c>
      <c r="J19" s="155">
        <f ca="1">MIN(Model!$I$5*Model!$E$11,SUM($C$13:J13))</f>
        <v>0</v>
      </c>
      <c r="K19" s="155">
        <f ca="1">MIN(Model!$I$5*Model!$E$11,SUM($C$13:K13))</f>
        <v>0</v>
      </c>
      <c r="L19" s="155">
        <f ca="1">MIN(Model!$I$5*Model!$E$11,SUM($C$13:L13))</f>
        <v>0</v>
      </c>
      <c r="M19" s="155">
        <f ca="1">MIN(Model!$I$5*Model!$E$11,SUM($C$13:M13))</f>
        <v>0</v>
      </c>
      <c r="N19" s="155">
        <f ca="1">MIN(Model!$I$5*Model!$E$11,SUM($C$13:N13))</f>
        <v>0</v>
      </c>
      <c r="O19" s="155">
        <f ca="1">MIN(Model!$I$5*Model!$E$11,SUM($C$13:O13))</f>
        <v>0</v>
      </c>
      <c r="P19" s="155">
        <f ca="1">MIN(Model!$I$5*Model!$E$11,SUM($C$13:P13))</f>
        <v>0</v>
      </c>
      <c r="Q19" s="155">
        <f ca="1">MIN(Model!$I$5*Model!$E$11,SUM($C$13:Q13))</f>
        <v>0</v>
      </c>
      <c r="R19" s="155">
        <f ca="1">MIN(Model!$I$5*Model!$E$11,SUM($C$13:R13))</f>
        <v>0</v>
      </c>
      <c r="S19" s="155">
        <f ca="1">MIN(Model!$I$5*Model!$E$11,SUM($C$13:S13))</f>
        <v>0</v>
      </c>
      <c r="T19" s="155">
        <f ca="1">MIN(Model!$I$5*Model!$E$11,SUM($C$13:T13))</f>
        <v>0</v>
      </c>
      <c r="U19" s="155">
        <f ca="1">MIN(Model!$I$5*Model!$E$11,SUM($C$13:U13))</f>
        <v>0</v>
      </c>
      <c r="V19" s="155">
        <f ca="1">MIN(Model!$I$5*Model!$E$11,SUM($C$13:V13))</f>
        <v>0</v>
      </c>
      <c r="W19" s="155">
        <f ca="1">MIN(Model!$I$5*Model!$E$11,SUM($C$13:W13))</f>
        <v>0</v>
      </c>
      <c r="X19" s="155">
        <f ca="1">MIN(Model!$I$5*Model!$E$11,SUM($C$13:X13))</f>
        <v>0</v>
      </c>
      <c r="Y19" s="155">
        <f ca="1">MIN(Model!$I$5*Model!$E$11,SUM($C$13:Y13))</f>
        <v>0</v>
      </c>
      <c r="Z19" s="155">
        <f ca="1">MIN(Model!$I$5*Model!$E$11,SUM($C$13:Z13))</f>
        <v>1065941.1011523691</v>
      </c>
      <c r="AA19" s="155">
        <f ca="1">MIN(Model!$I$5*Model!$E$11,SUM($C$13:AA13))</f>
        <v>1598911.6517285537</v>
      </c>
      <c r="AB19" s="155">
        <f ca="1">MIN(Model!$I$5*Model!$E$11,SUM($C$13:AB13))</f>
        <v>1598911.6517285537</v>
      </c>
      <c r="AC19" s="155">
        <f ca="1">MIN(Model!$I$5*Model!$E$11,SUM($C$13:AC13))</f>
        <v>1598911.6517285537</v>
      </c>
      <c r="AD19" s="155">
        <f ca="1">MIN(Model!$I$5*Model!$E$11,SUM($C$13:AD13))</f>
        <v>10000000</v>
      </c>
      <c r="AE19" s="155">
        <f ca="1">MIN(Model!$I$5*Model!$E$11,SUM($C$13:AE13))</f>
        <v>10000000</v>
      </c>
      <c r="AF19" s="155">
        <f ca="1">MIN(Model!$I$5*Model!$E$11,SUM($C$13:AF13))</f>
        <v>10000000</v>
      </c>
      <c r="AG19" s="155">
        <f ca="1">MIN(Model!$I$5*Model!$E$11,SUM($C$13:AG13))</f>
        <v>10000000</v>
      </c>
      <c r="AH19" s="155">
        <f ca="1">MIN(Model!$I$5*Model!$E$11,SUM($C$13:AH13))</f>
        <v>10000000</v>
      </c>
      <c r="AI19" s="155">
        <f ca="1">MIN(Model!$I$5*Model!$E$11,SUM($C$13:AI13))</f>
        <v>10000000</v>
      </c>
      <c r="AJ19" s="155">
        <f ca="1">MIN(Model!$I$5*Model!$E$11,SUM($C$13:AJ13))</f>
        <v>10000000</v>
      </c>
      <c r="AK19" s="155">
        <f ca="1">MIN(Model!$I$5*Model!$E$11,SUM($C$13:AK13))</f>
        <v>10000000</v>
      </c>
      <c r="AL19" s="155">
        <f ca="1">MIN(Model!$I$5*Model!$E$11,SUM($C$13:AL13))</f>
        <v>10000000</v>
      </c>
      <c r="AM19" s="155">
        <f ca="1">MIN(Model!$I$5*Model!$E$11,SUM($C$13:AM13))</f>
        <v>10000000</v>
      </c>
      <c r="AN19" s="155">
        <f ca="1">MIN(Model!$I$5*Model!$E$11,SUM($C$13:AN13))</f>
        <v>10000000</v>
      </c>
      <c r="AO19" s="155">
        <f ca="1">MIN(Model!$I$5*Model!$E$11,SUM($C$13:AO13))</f>
        <v>10000000</v>
      </c>
      <c r="AP19" s="155">
        <f ca="1">MIN(Model!$I$5*Model!$E$11,SUM($C$13:AP13))</f>
        <v>10000000</v>
      </c>
      <c r="AQ19" s="155">
        <f ca="1">MIN(Model!$I$5*Model!$E$11,SUM($C$13:AQ13))</f>
        <v>10000000</v>
      </c>
      <c r="AR19" s="155">
        <f ca="1">MIN(Model!$I$5*Model!$E$11,SUM($C$13:AR13))</f>
        <v>10000000</v>
      </c>
      <c r="AS19" s="155">
        <f ca="1">MIN(Model!$I$5*Model!$E$11,SUM($C$13:AS13))</f>
        <v>10000000</v>
      </c>
      <c r="AT19" s="155">
        <f ca="1">MIN(Model!$I$5*Model!$E$11,SUM($C$13:AT13))</f>
        <v>10000000</v>
      </c>
      <c r="AU19" s="155">
        <f ca="1">MIN(Model!$I$5*Model!$E$11,SUM($C$13:AU13))</f>
        <v>10000000</v>
      </c>
      <c r="AV19" s="155">
        <f ca="1">MIN(Model!$I$5*Model!$E$11,SUM($C$13:AV13))</f>
        <v>10000000</v>
      </c>
      <c r="AW19" s="155">
        <f ca="1">MIN(Model!$I$5*Model!$E$11,SUM($C$13:AW13))</f>
        <v>10000000</v>
      </c>
      <c r="AX19" s="155">
        <f ca="1">MIN(Model!$I$5*Model!$E$11,SUM($C$13:AX13))</f>
        <v>10000000</v>
      </c>
      <c r="AY19" s="155">
        <f ca="1">MIN(Model!$I$5*Model!$E$11,SUM($C$13:AY13))</f>
        <v>10000000</v>
      </c>
      <c r="AZ19" s="155">
        <f ca="1">MIN(Model!$I$5*Model!$E$11,SUM($C$13:AZ13))</f>
        <v>10000000</v>
      </c>
      <c r="BA19" s="155">
        <f ca="1">MIN(Model!$I$5*Model!$E$11,SUM($C$13:BA13))</f>
        <v>10000000</v>
      </c>
      <c r="BB19" s="155">
        <f ca="1">MIN(Model!$I$5*Model!$E$11,SUM($C$13:BB13))</f>
        <v>10000000</v>
      </c>
      <c r="BC19" s="155">
        <f ca="1">MIN(Model!$I$5*Model!$E$11,SUM($C$13:BC13))</f>
        <v>10000000</v>
      </c>
      <c r="BD19" s="155">
        <f ca="1">MIN(Model!$I$5*Model!$E$11,SUM($C$13:BD13))</f>
        <v>10000000</v>
      </c>
      <c r="BE19" s="155">
        <f ca="1">MIN(Model!$I$5*Model!$E$11,SUM($C$13:BE13))</f>
        <v>10000000</v>
      </c>
      <c r="BF19" s="155">
        <f ca="1">MIN(Model!$I$5*Model!$E$11,SUM($C$13:BF13))</f>
        <v>10000000</v>
      </c>
      <c r="BG19" s="155">
        <f ca="1">MIN(Model!$I$5*Model!$E$11,SUM($C$13:BG13))</f>
        <v>10000000</v>
      </c>
      <c r="BH19" s="155">
        <f ca="1">MIN(Model!$I$5*Model!$E$11,SUM($C$13:BH13))</f>
        <v>10000000</v>
      </c>
      <c r="BI19" s="155">
        <f ca="1">MIN(Model!$I$5*Model!$E$11,SUM($C$13:BI13))</f>
        <v>10000000</v>
      </c>
      <c r="BJ19" s="155">
        <f ca="1">MIN(Model!$I$5*Model!$E$11,SUM($C$13:BJ13))</f>
        <v>10000000</v>
      </c>
      <c r="BK19" s="155">
        <f ca="1">MIN(Model!$I$5*Model!$E$11,SUM($C$13:BK13))</f>
        <v>10000000</v>
      </c>
      <c r="BL19" s="155">
        <f ca="1">MIN(Model!$I$5*Model!$E$11,SUM($C$13:BL13))</f>
        <v>10000000</v>
      </c>
      <c r="BM19" s="155">
        <f ca="1">MIN(Model!$I$5*Model!$E$11,SUM($C$13:BM13))</f>
        <v>10000000</v>
      </c>
      <c r="BN19" s="155">
        <f ca="1">MIN(Model!$I$5*Model!$E$11,SUM($C$13:BN13))</f>
        <v>10000000</v>
      </c>
      <c r="BO19" s="155">
        <f ca="1">MIN(Model!$I$5*Model!$E$11,SUM($C$13:BO13))</f>
        <v>10000000</v>
      </c>
      <c r="BP19" s="155">
        <f ca="1">MIN(Model!$I$5*Model!$E$11,SUM($C$13:BP13))</f>
        <v>10000000</v>
      </c>
      <c r="BQ19" s="155">
        <f ca="1">MIN(Model!$I$5*Model!$E$11,SUM($C$13:BQ13))</f>
        <v>10000000</v>
      </c>
      <c r="BR19" s="155">
        <f ca="1">MIN(Model!$I$5*Model!$E$11,SUM($C$13:BR13))</f>
        <v>10000000</v>
      </c>
      <c r="BS19" s="155">
        <f ca="1">MIN(Model!$I$5*Model!$E$11,SUM($C$13:BS13))</f>
        <v>10000000</v>
      </c>
      <c r="BT19" s="155">
        <f ca="1">MIN(Model!$I$5*Model!$E$11,SUM($C$13:BT13))</f>
        <v>10000000</v>
      </c>
      <c r="BU19" s="155">
        <f ca="1">MIN(Model!$I$5*Model!$E$11,SUM($C$13:BU13))</f>
        <v>10000000</v>
      </c>
      <c r="BV19" s="155">
        <f ca="1">MIN(Model!$I$5*Model!$E$11,SUM($C$13:BV13))</f>
        <v>10000000</v>
      </c>
      <c r="BW19" s="155">
        <f ca="1">MIN(Model!$I$5*Model!$E$11,SUM($C$13:BW13))</f>
        <v>10000000</v>
      </c>
    </row>
    <row r="20" spans="1:76" s="138" customFormat="1" x14ac:dyDescent="0.25">
      <c r="A20" s="2"/>
      <c r="B20" s="138" t="s">
        <v>120</v>
      </c>
      <c r="C20" s="155">
        <v>0</v>
      </c>
      <c r="D20" s="155">
        <f ca="1">MAX(0,SUMIF(Model!$AB$6:$AB$105,"&lt;="&amp;D$4,Model!$AA$6:$AA$105)+SUMIF(Model!$AK$6:$AK$105,"&lt;="&amp;D$4,Model!$AJ$6:$AJ$105)+SUMIF(Model!$AT$6:$AT$105,"&lt;="&amp;D$4,Model!$AS$6:$AS$105)+SUMIF(Model!$BC$6:$BC$105,"&lt;="&amp;D$4,Model!$BB$6:$BB$105)+SUMIF(Model!$BL$6:$BL$105,"&lt;="&amp;D$4,Model!$BK$6:$BK$105)+SUMIF(Model!$BU$6:$BU$105,"&lt;="&amp;D$4,Model!$BT$6:$BT$105)+SUMIF(Model!$CD$6:$CD$105,"&lt;="&amp;D$4,Model!$CC$6:$CC$105)+SUMIF(Model!$CM$6:$CM$105,"&lt;="&amp;D$4,Model!$CL$6:$CL$105)+SUMIF(Model!$CV$6:$CV$105,"&lt;="&amp;D$4,Model!$CU$6:$CU$105)-(Model!$I$5+$BX$6))</f>
        <v>0</v>
      </c>
      <c r="E20" s="155">
        <f ca="1">MAX(0,SUMIF(Model!$AB$6:$AB$105,"&lt;="&amp;E$4,Model!$AA$6:$AA$105)+SUMIF(Model!$AK$6:$AK$105,"&lt;="&amp;E$4,Model!$AJ$6:$AJ$105)+SUMIF(Model!$AT$6:$AT$105,"&lt;="&amp;E$4,Model!$AS$6:$AS$105)+SUMIF(Model!$BC$6:$BC$105,"&lt;="&amp;E$4,Model!$BB$6:$BB$105)+SUMIF(Model!$BL$6:$BL$105,"&lt;="&amp;E$4,Model!$BK$6:$BK$105)+SUMIF(Model!$BU$6:$BU$105,"&lt;="&amp;E$4,Model!$BT$6:$BT$105)+SUMIF(Model!$CD$6:$CD$105,"&lt;="&amp;E$4,Model!$CC$6:$CC$105)+SUMIF(Model!$CM$6:$CM$105,"&lt;="&amp;E$4,Model!$CL$6:$CL$105)+SUMIF(Model!$CV$6:$CV$105,"&lt;="&amp;E$4,Model!$CU$6:$CU$105)-(Model!$I$5+$BX$6))</f>
        <v>0</v>
      </c>
      <c r="F20" s="155">
        <f ca="1">MAX(0,SUMIF(Model!$AB$6:$AB$105,"&lt;="&amp;F$4,Model!$AA$6:$AA$105)+SUMIF(Model!$AK$6:$AK$105,"&lt;="&amp;F$4,Model!$AJ$6:$AJ$105)+SUMIF(Model!$AT$6:$AT$105,"&lt;="&amp;F$4,Model!$AS$6:$AS$105)+SUMIF(Model!$BC$6:$BC$105,"&lt;="&amp;F$4,Model!$BB$6:$BB$105)+SUMIF(Model!$BL$6:$BL$105,"&lt;="&amp;F$4,Model!$BK$6:$BK$105)+SUMIF(Model!$BU$6:$BU$105,"&lt;="&amp;F$4,Model!$BT$6:$BT$105)+SUMIF(Model!$CD$6:$CD$105,"&lt;="&amp;F$4,Model!$CC$6:$CC$105)+SUMIF(Model!$CM$6:$CM$105,"&lt;="&amp;F$4,Model!$CL$6:$CL$105)+SUMIF(Model!$CV$6:$CV$105,"&lt;="&amp;F$4,Model!$CU$6:$CU$105)-(Model!$I$5+$BX$6))</f>
        <v>0</v>
      </c>
      <c r="G20" s="155">
        <f ca="1">MAX(0,SUMIF(Model!$AB$6:$AB$105,"&lt;="&amp;G$4,Model!$AA$6:$AA$105)+SUMIF(Model!$AK$6:$AK$105,"&lt;="&amp;G$4,Model!$AJ$6:$AJ$105)+SUMIF(Model!$AT$6:$AT$105,"&lt;="&amp;G$4,Model!$AS$6:$AS$105)+SUMIF(Model!$BC$6:$BC$105,"&lt;="&amp;G$4,Model!$BB$6:$BB$105)+SUMIF(Model!$BL$6:$BL$105,"&lt;="&amp;G$4,Model!$BK$6:$BK$105)+SUMIF(Model!$BU$6:$BU$105,"&lt;="&amp;G$4,Model!$BT$6:$BT$105)+SUMIF(Model!$CD$6:$CD$105,"&lt;="&amp;G$4,Model!$CC$6:$CC$105)+SUMIF(Model!$CM$6:$CM$105,"&lt;="&amp;G$4,Model!$CL$6:$CL$105)+SUMIF(Model!$CV$6:$CV$105,"&lt;="&amp;G$4,Model!$CU$6:$CU$105)-(Model!$I$5+$BX$6))</f>
        <v>0</v>
      </c>
      <c r="H20" s="155">
        <f ca="1">MAX(0,SUMIF(Model!$AB$6:$AB$105,"&lt;="&amp;H$4,Model!$AA$6:$AA$105)+SUMIF(Model!$AK$6:$AK$105,"&lt;="&amp;H$4,Model!$AJ$6:$AJ$105)+SUMIF(Model!$AT$6:$AT$105,"&lt;="&amp;H$4,Model!$AS$6:$AS$105)+SUMIF(Model!$BC$6:$BC$105,"&lt;="&amp;H$4,Model!$BB$6:$BB$105)+SUMIF(Model!$BL$6:$BL$105,"&lt;="&amp;H$4,Model!$BK$6:$BK$105)+SUMIF(Model!$BU$6:$BU$105,"&lt;="&amp;H$4,Model!$BT$6:$BT$105)+SUMIF(Model!$CD$6:$CD$105,"&lt;="&amp;H$4,Model!$CC$6:$CC$105)+SUMIF(Model!$CM$6:$CM$105,"&lt;="&amp;H$4,Model!$CL$6:$CL$105)+SUMIF(Model!$CV$6:$CV$105,"&lt;="&amp;H$4,Model!$CU$6:$CU$105)-(Model!$I$5+$BX$6))</f>
        <v>0</v>
      </c>
      <c r="I20" s="155">
        <f ca="1">MAX(0,SUMIF(Model!$AB$6:$AB$105,"&lt;="&amp;I$4,Model!$AA$6:$AA$105)+SUMIF(Model!$AK$6:$AK$105,"&lt;="&amp;I$4,Model!$AJ$6:$AJ$105)+SUMIF(Model!$AT$6:$AT$105,"&lt;="&amp;I$4,Model!$AS$6:$AS$105)+SUMIF(Model!$BC$6:$BC$105,"&lt;="&amp;I$4,Model!$BB$6:$BB$105)+SUMIF(Model!$BL$6:$BL$105,"&lt;="&amp;I$4,Model!$BK$6:$BK$105)+SUMIF(Model!$BU$6:$BU$105,"&lt;="&amp;I$4,Model!$BT$6:$BT$105)+SUMIF(Model!$CD$6:$CD$105,"&lt;="&amp;I$4,Model!$CC$6:$CC$105)+SUMIF(Model!$CM$6:$CM$105,"&lt;="&amp;I$4,Model!$CL$6:$CL$105)+SUMIF(Model!$CV$6:$CV$105,"&lt;="&amp;I$4,Model!$CU$6:$CU$105)-(Model!$I$5+$BX$6))</f>
        <v>0</v>
      </c>
      <c r="J20" s="155">
        <f ca="1">MAX(0,SUMIF(Model!$AB$6:$AB$105,"&lt;="&amp;J$4,Model!$AA$6:$AA$105)+SUMIF(Model!$AK$6:$AK$105,"&lt;="&amp;J$4,Model!$AJ$6:$AJ$105)+SUMIF(Model!$AT$6:$AT$105,"&lt;="&amp;J$4,Model!$AS$6:$AS$105)+SUMIF(Model!$BC$6:$BC$105,"&lt;="&amp;J$4,Model!$BB$6:$BB$105)+SUMIF(Model!$BL$6:$BL$105,"&lt;="&amp;J$4,Model!$BK$6:$BK$105)+SUMIF(Model!$BU$6:$BU$105,"&lt;="&amp;J$4,Model!$BT$6:$BT$105)+SUMIF(Model!$CD$6:$CD$105,"&lt;="&amp;J$4,Model!$CC$6:$CC$105)+SUMIF(Model!$CM$6:$CM$105,"&lt;="&amp;J$4,Model!$CL$6:$CL$105)+SUMIF(Model!$CV$6:$CV$105,"&lt;="&amp;J$4,Model!$CU$6:$CU$105)-(Model!$I$5+$BX$6))</f>
        <v>0</v>
      </c>
      <c r="K20" s="155">
        <f ca="1">MAX(0,SUMIF(Model!$AB$6:$AB$105,"&lt;="&amp;K$4,Model!$AA$6:$AA$105)+SUMIF(Model!$AK$6:$AK$105,"&lt;="&amp;K$4,Model!$AJ$6:$AJ$105)+SUMIF(Model!$AT$6:$AT$105,"&lt;="&amp;K$4,Model!$AS$6:$AS$105)+SUMIF(Model!$BC$6:$BC$105,"&lt;="&amp;K$4,Model!$BB$6:$BB$105)+SUMIF(Model!$BL$6:$BL$105,"&lt;="&amp;K$4,Model!$BK$6:$BK$105)+SUMIF(Model!$BU$6:$BU$105,"&lt;="&amp;K$4,Model!$BT$6:$BT$105)+SUMIF(Model!$CD$6:$CD$105,"&lt;="&amp;K$4,Model!$CC$6:$CC$105)+SUMIF(Model!$CM$6:$CM$105,"&lt;="&amp;K$4,Model!$CL$6:$CL$105)+SUMIF(Model!$CV$6:$CV$105,"&lt;="&amp;K$4,Model!$CU$6:$CU$105)-(Model!$I$5+$BX$6))</f>
        <v>0</v>
      </c>
      <c r="L20" s="155">
        <f ca="1">MAX(0,SUMIF(Model!$AB$6:$AB$105,"&lt;="&amp;L$4,Model!$AA$6:$AA$105)+SUMIF(Model!$AK$6:$AK$105,"&lt;="&amp;L$4,Model!$AJ$6:$AJ$105)+SUMIF(Model!$AT$6:$AT$105,"&lt;="&amp;L$4,Model!$AS$6:$AS$105)+SUMIF(Model!$BC$6:$BC$105,"&lt;="&amp;L$4,Model!$BB$6:$BB$105)+SUMIF(Model!$BL$6:$BL$105,"&lt;="&amp;L$4,Model!$BK$6:$BK$105)+SUMIF(Model!$BU$6:$BU$105,"&lt;="&amp;L$4,Model!$BT$6:$BT$105)+SUMIF(Model!$CD$6:$CD$105,"&lt;="&amp;L$4,Model!$CC$6:$CC$105)+SUMIF(Model!$CM$6:$CM$105,"&lt;="&amp;L$4,Model!$CL$6:$CL$105)+SUMIF(Model!$CV$6:$CV$105,"&lt;="&amp;L$4,Model!$CU$6:$CU$105)-(Model!$I$5+$BX$6))</f>
        <v>0</v>
      </c>
      <c r="M20" s="155">
        <f ca="1">MAX(0,SUMIF(Model!$AB$6:$AB$105,"&lt;="&amp;M$4,Model!$AA$6:$AA$105)+SUMIF(Model!$AK$6:$AK$105,"&lt;="&amp;M$4,Model!$AJ$6:$AJ$105)+SUMIF(Model!$AT$6:$AT$105,"&lt;="&amp;M$4,Model!$AS$6:$AS$105)+SUMIF(Model!$BC$6:$BC$105,"&lt;="&amp;M$4,Model!$BB$6:$BB$105)+SUMIF(Model!$BL$6:$BL$105,"&lt;="&amp;M$4,Model!$BK$6:$BK$105)+SUMIF(Model!$BU$6:$BU$105,"&lt;="&amp;M$4,Model!$BT$6:$BT$105)+SUMIF(Model!$CD$6:$CD$105,"&lt;="&amp;M$4,Model!$CC$6:$CC$105)+SUMIF(Model!$CM$6:$CM$105,"&lt;="&amp;M$4,Model!$CL$6:$CL$105)+SUMIF(Model!$CV$6:$CV$105,"&lt;="&amp;M$4,Model!$CU$6:$CU$105)-(Model!$I$5+$BX$6))</f>
        <v>0</v>
      </c>
      <c r="N20" s="155">
        <f ca="1">MAX(0,SUMIF(Model!$AB$6:$AB$105,"&lt;="&amp;N$4,Model!$AA$6:$AA$105)+SUMIF(Model!$AK$6:$AK$105,"&lt;="&amp;N$4,Model!$AJ$6:$AJ$105)+SUMIF(Model!$AT$6:$AT$105,"&lt;="&amp;N$4,Model!$AS$6:$AS$105)+SUMIF(Model!$BC$6:$BC$105,"&lt;="&amp;N$4,Model!$BB$6:$BB$105)+SUMIF(Model!$BL$6:$BL$105,"&lt;="&amp;N$4,Model!$BK$6:$BK$105)+SUMIF(Model!$BU$6:$BU$105,"&lt;="&amp;N$4,Model!$BT$6:$BT$105)+SUMIF(Model!$CD$6:$CD$105,"&lt;="&amp;N$4,Model!$CC$6:$CC$105)+SUMIF(Model!$CM$6:$CM$105,"&lt;="&amp;N$4,Model!$CL$6:$CL$105)+SUMIF(Model!$CV$6:$CV$105,"&lt;="&amp;N$4,Model!$CU$6:$CU$105)-(Model!$I$5+$BX$6))</f>
        <v>0</v>
      </c>
      <c r="O20" s="155">
        <f ca="1">MAX(0,SUMIF(Model!$AB$6:$AB$105,"&lt;="&amp;O$4,Model!$AA$6:$AA$105)+SUMIF(Model!$AK$6:$AK$105,"&lt;="&amp;O$4,Model!$AJ$6:$AJ$105)+SUMIF(Model!$AT$6:$AT$105,"&lt;="&amp;O$4,Model!$AS$6:$AS$105)+SUMIF(Model!$BC$6:$BC$105,"&lt;="&amp;O$4,Model!$BB$6:$BB$105)+SUMIF(Model!$BL$6:$BL$105,"&lt;="&amp;O$4,Model!$BK$6:$BK$105)+SUMIF(Model!$BU$6:$BU$105,"&lt;="&amp;O$4,Model!$BT$6:$BT$105)+SUMIF(Model!$CD$6:$CD$105,"&lt;="&amp;O$4,Model!$CC$6:$CC$105)+SUMIF(Model!$CM$6:$CM$105,"&lt;="&amp;O$4,Model!$CL$6:$CL$105)+SUMIF(Model!$CV$6:$CV$105,"&lt;="&amp;O$4,Model!$CU$6:$CU$105)-(Model!$I$5+$BX$6))</f>
        <v>0</v>
      </c>
      <c r="P20" s="155">
        <f ca="1">MAX(0,SUMIF(Model!$AB$6:$AB$105,"&lt;="&amp;P$4,Model!$AA$6:$AA$105)+SUMIF(Model!$AK$6:$AK$105,"&lt;="&amp;P$4,Model!$AJ$6:$AJ$105)+SUMIF(Model!$AT$6:$AT$105,"&lt;="&amp;P$4,Model!$AS$6:$AS$105)+SUMIF(Model!$BC$6:$BC$105,"&lt;="&amp;P$4,Model!$BB$6:$BB$105)+SUMIF(Model!$BL$6:$BL$105,"&lt;="&amp;P$4,Model!$BK$6:$BK$105)+SUMIF(Model!$BU$6:$BU$105,"&lt;="&amp;P$4,Model!$BT$6:$BT$105)+SUMIF(Model!$CD$6:$CD$105,"&lt;="&amp;P$4,Model!$CC$6:$CC$105)+SUMIF(Model!$CM$6:$CM$105,"&lt;="&amp;P$4,Model!$CL$6:$CL$105)+SUMIF(Model!$CV$6:$CV$105,"&lt;="&amp;P$4,Model!$CU$6:$CU$105)-(Model!$I$5+$BX$6))</f>
        <v>0</v>
      </c>
      <c r="Q20" s="155">
        <f ca="1">MAX(0,SUMIF(Model!$AB$6:$AB$105,"&lt;="&amp;Q$4,Model!$AA$6:$AA$105)+SUMIF(Model!$AK$6:$AK$105,"&lt;="&amp;Q$4,Model!$AJ$6:$AJ$105)+SUMIF(Model!$AT$6:$AT$105,"&lt;="&amp;Q$4,Model!$AS$6:$AS$105)+SUMIF(Model!$BC$6:$BC$105,"&lt;="&amp;Q$4,Model!$BB$6:$BB$105)+SUMIF(Model!$BL$6:$BL$105,"&lt;="&amp;Q$4,Model!$BK$6:$BK$105)+SUMIF(Model!$BU$6:$BU$105,"&lt;="&amp;Q$4,Model!$BT$6:$BT$105)+SUMIF(Model!$CD$6:$CD$105,"&lt;="&amp;Q$4,Model!$CC$6:$CC$105)+SUMIF(Model!$CM$6:$CM$105,"&lt;="&amp;Q$4,Model!$CL$6:$CL$105)+SUMIF(Model!$CV$6:$CV$105,"&lt;="&amp;Q$4,Model!$CU$6:$CU$105)-(Model!$I$5+$BX$6))</f>
        <v>0</v>
      </c>
      <c r="R20" s="155">
        <f ca="1">MAX(0,SUMIF(Model!$AB$6:$AB$105,"&lt;="&amp;R$4,Model!$AA$6:$AA$105)+SUMIF(Model!$AK$6:$AK$105,"&lt;="&amp;R$4,Model!$AJ$6:$AJ$105)+SUMIF(Model!$AT$6:$AT$105,"&lt;="&amp;R$4,Model!$AS$6:$AS$105)+SUMIF(Model!$BC$6:$BC$105,"&lt;="&amp;R$4,Model!$BB$6:$BB$105)+SUMIF(Model!$BL$6:$BL$105,"&lt;="&amp;R$4,Model!$BK$6:$BK$105)+SUMIF(Model!$BU$6:$BU$105,"&lt;="&amp;R$4,Model!$BT$6:$BT$105)+SUMIF(Model!$CD$6:$CD$105,"&lt;="&amp;R$4,Model!$CC$6:$CC$105)+SUMIF(Model!$CM$6:$CM$105,"&lt;="&amp;R$4,Model!$CL$6:$CL$105)+SUMIF(Model!$CV$6:$CV$105,"&lt;="&amp;R$4,Model!$CU$6:$CU$105)-(Model!$I$5+$BX$6))</f>
        <v>0</v>
      </c>
      <c r="S20" s="155">
        <f ca="1">MAX(0,SUMIF(Model!$AB$6:$AB$105,"&lt;="&amp;S$4,Model!$AA$6:$AA$105)+SUMIF(Model!$AK$6:$AK$105,"&lt;="&amp;S$4,Model!$AJ$6:$AJ$105)+SUMIF(Model!$AT$6:$AT$105,"&lt;="&amp;S$4,Model!$AS$6:$AS$105)+SUMIF(Model!$BC$6:$BC$105,"&lt;="&amp;S$4,Model!$BB$6:$BB$105)+SUMIF(Model!$BL$6:$BL$105,"&lt;="&amp;S$4,Model!$BK$6:$BK$105)+SUMIF(Model!$BU$6:$BU$105,"&lt;="&amp;S$4,Model!$BT$6:$BT$105)+SUMIF(Model!$CD$6:$CD$105,"&lt;="&amp;S$4,Model!$CC$6:$CC$105)+SUMIF(Model!$CM$6:$CM$105,"&lt;="&amp;S$4,Model!$CL$6:$CL$105)+SUMIF(Model!$CV$6:$CV$105,"&lt;="&amp;S$4,Model!$CU$6:$CU$105)-(Model!$I$5+$BX$6))</f>
        <v>0</v>
      </c>
      <c r="T20" s="155">
        <f ca="1">MAX(0,SUMIF(Model!$AB$6:$AB$105,"&lt;="&amp;T$4,Model!$AA$6:$AA$105)+SUMIF(Model!$AK$6:$AK$105,"&lt;="&amp;T$4,Model!$AJ$6:$AJ$105)+SUMIF(Model!$AT$6:$AT$105,"&lt;="&amp;T$4,Model!$AS$6:$AS$105)+SUMIF(Model!$BC$6:$BC$105,"&lt;="&amp;T$4,Model!$BB$6:$BB$105)+SUMIF(Model!$BL$6:$BL$105,"&lt;="&amp;T$4,Model!$BK$6:$BK$105)+SUMIF(Model!$BU$6:$BU$105,"&lt;="&amp;T$4,Model!$BT$6:$BT$105)+SUMIF(Model!$CD$6:$CD$105,"&lt;="&amp;T$4,Model!$CC$6:$CC$105)+SUMIF(Model!$CM$6:$CM$105,"&lt;="&amp;T$4,Model!$CL$6:$CL$105)+SUMIF(Model!$CV$6:$CV$105,"&lt;="&amp;T$4,Model!$CU$6:$CU$105)-(Model!$I$5+$BX$6))</f>
        <v>0</v>
      </c>
      <c r="U20" s="155">
        <f ca="1">MAX(0,SUMIF(Model!$AB$6:$AB$105,"&lt;="&amp;U$4,Model!$AA$6:$AA$105)+SUMIF(Model!$AK$6:$AK$105,"&lt;="&amp;U$4,Model!$AJ$6:$AJ$105)+SUMIF(Model!$AT$6:$AT$105,"&lt;="&amp;U$4,Model!$AS$6:$AS$105)+SUMIF(Model!$BC$6:$BC$105,"&lt;="&amp;U$4,Model!$BB$6:$BB$105)+SUMIF(Model!$BL$6:$BL$105,"&lt;="&amp;U$4,Model!$BK$6:$BK$105)+SUMIF(Model!$BU$6:$BU$105,"&lt;="&amp;U$4,Model!$BT$6:$BT$105)+SUMIF(Model!$CD$6:$CD$105,"&lt;="&amp;U$4,Model!$CC$6:$CC$105)+SUMIF(Model!$CM$6:$CM$105,"&lt;="&amp;U$4,Model!$CL$6:$CL$105)+SUMIF(Model!$CV$6:$CV$105,"&lt;="&amp;U$4,Model!$CU$6:$CU$105)-(Model!$I$5+$BX$6))</f>
        <v>0</v>
      </c>
      <c r="V20" s="155">
        <f ca="1">MAX(0,SUMIF(Model!$AB$6:$AB$105,"&lt;="&amp;V$4,Model!$AA$6:$AA$105)+SUMIF(Model!$AK$6:$AK$105,"&lt;="&amp;V$4,Model!$AJ$6:$AJ$105)+SUMIF(Model!$AT$6:$AT$105,"&lt;="&amp;V$4,Model!$AS$6:$AS$105)+SUMIF(Model!$BC$6:$BC$105,"&lt;="&amp;V$4,Model!$BB$6:$BB$105)+SUMIF(Model!$BL$6:$BL$105,"&lt;="&amp;V$4,Model!$BK$6:$BK$105)+SUMIF(Model!$BU$6:$BU$105,"&lt;="&amp;V$4,Model!$BT$6:$BT$105)+SUMIF(Model!$CD$6:$CD$105,"&lt;="&amp;V$4,Model!$CC$6:$CC$105)+SUMIF(Model!$CM$6:$CM$105,"&lt;="&amp;V$4,Model!$CL$6:$CL$105)+SUMIF(Model!$CV$6:$CV$105,"&lt;="&amp;V$4,Model!$CU$6:$CU$105)-(Model!$I$5+$BX$6))</f>
        <v>0</v>
      </c>
      <c r="W20" s="155">
        <f ca="1">MAX(0,SUMIF(Model!$AB$6:$AB$105,"&lt;="&amp;W$4,Model!$AA$6:$AA$105)+SUMIF(Model!$AK$6:$AK$105,"&lt;="&amp;W$4,Model!$AJ$6:$AJ$105)+SUMIF(Model!$AT$6:$AT$105,"&lt;="&amp;W$4,Model!$AS$6:$AS$105)+SUMIF(Model!$BC$6:$BC$105,"&lt;="&amp;W$4,Model!$BB$6:$BB$105)+SUMIF(Model!$BL$6:$BL$105,"&lt;="&amp;W$4,Model!$BK$6:$BK$105)+SUMIF(Model!$BU$6:$BU$105,"&lt;="&amp;W$4,Model!$BT$6:$BT$105)+SUMIF(Model!$CD$6:$CD$105,"&lt;="&amp;W$4,Model!$CC$6:$CC$105)+SUMIF(Model!$CM$6:$CM$105,"&lt;="&amp;W$4,Model!$CL$6:$CL$105)+SUMIF(Model!$CV$6:$CV$105,"&lt;="&amp;W$4,Model!$CU$6:$CU$105)-(Model!$I$5+$BX$6))</f>
        <v>0</v>
      </c>
      <c r="X20" s="155">
        <f ca="1">MAX(0,SUMIF(Model!$AB$6:$AB$105,"&lt;="&amp;X$4,Model!$AA$6:$AA$105)+SUMIF(Model!$AK$6:$AK$105,"&lt;="&amp;X$4,Model!$AJ$6:$AJ$105)+SUMIF(Model!$AT$6:$AT$105,"&lt;="&amp;X$4,Model!$AS$6:$AS$105)+SUMIF(Model!$BC$6:$BC$105,"&lt;="&amp;X$4,Model!$BB$6:$BB$105)+SUMIF(Model!$BL$6:$BL$105,"&lt;="&amp;X$4,Model!$BK$6:$BK$105)+SUMIF(Model!$BU$6:$BU$105,"&lt;="&amp;X$4,Model!$BT$6:$BT$105)+SUMIF(Model!$CD$6:$CD$105,"&lt;="&amp;X$4,Model!$CC$6:$CC$105)+SUMIF(Model!$CM$6:$CM$105,"&lt;="&amp;X$4,Model!$CL$6:$CL$105)+SUMIF(Model!$CV$6:$CV$105,"&lt;="&amp;X$4,Model!$CU$6:$CU$105)-(Model!$I$5+$BX$6))</f>
        <v>0</v>
      </c>
      <c r="Y20" s="155">
        <f ca="1">MAX(0,SUMIF(Model!$AB$6:$AB$105,"&lt;="&amp;Y$4,Model!$AA$6:$AA$105)+SUMIF(Model!$AK$6:$AK$105,"&lt;="&amp;Y$4,Model!$AJ$6:$AJ$105)+SUMIF(Model!$AT$6:$AT$105,"&lt;="&amp;Y$4,Model!$AS$6:$AS$105)+SUMIF(Model!$BC$6:$BC$105,"&lt;="&amp;Y$4,Model!$BB$6:$BB$105)+SUMIF(Model!$BL$6:$BL$105,"&lt;="&amp;Y$4,Model!$BK$6:$BK$105)+SUMIF(Model!$BU$6:$BU$105,"&lt;="&amp;Y$4,Model!$BT$6:$BT$105)+SUMIF(Model!$CD$6:$CD$105,"&lt;="&amp;Y$4,Model!$CC$6:$CC$105)+SUMIF(Model!$CM$6:$CM$105,"&lt;="&amp;Y$4,Model!$CL$6:$CL$105)+SUMIF(Model!$CV$6:$CV$105,"&lt;="&amp;Y$4,Model!$CU$6:$CU$105)-(Model!$I$5+$BX$6))</f>
        <v>0</v>
      </c>
      <c r="Z20" s="155">
        <f ca="1">MAX(0,SUMIF(Model!$AB$6:$AB$105,"&lt;="&amp;Z$4,Model!$AA$6:$AA$105)+SUMIF(Model!$AK$6:$AK$105,"&lt;="&amp;Z$4,Model!$AJ$6:$AJ$105)+SUMIF(Model!$AT$6:$AT$105,"&lt;="&amp;Z$4,Model!$AS$6:$AS$105)+SUMIF(Model!$BC$6:$BC$105,"&lt;="&amp;Z$4,Model!$BB$6:$BB$105)+SUMIF(Model!$BL$6:$BL$105,"&lt;="&amp;Z$4,Model!$BK$6:$BK$105)+SUMIF(Model!$BU$6:$BU$105,"&lt;="&amp;Z$4,Model!$BT$6:$BT$105)+SUMIF(Model!$CD$6:$CD$105,"&lt;="&amp;Z$4,Model!$CC$6:$CC$105)+SUMIF(Model!$CM$6:$CM$105,"&lt;="&amp;Z$4,Model!$CL$6:$CL$105)+SUMIF(Model!$CV$6:$CV$105,"&lt;="&amp;Z$4,Model!$CU$6:$CU$105)-(Model!$I$5+$BX$6))</f>
        <v>0</v>
      </c>
      <c r="AA20" s="155">
        <f ca="1">MAX(0,SUMIF(Model!$AB$6:$AB$105,"&lt;="&amp;AA$4,Model!$AA$6:$AA$105)+SUMIF(Model!$AK$6:$AK$105,"&lt;="&amp;AA$4,Model!$AJ$6:$AJ$105)+SUMIF(Model!$AT$6:$AT$105,"&lt;="&amp;AA$4,Model!$AS$6:$AS$105)+SUMIF(Model!$BC$6:$BC$105,"&lt;="&amp;AA$4,Model!$BB$6:$BB$105)+SUMIF(Model!$BL$6:$BL$105,"&lt;="&amp;AA$4,Model!$BK$6:$BK$105)+SUMIF(Model!$BU$6:$BU$105,"&lt;="&amp;AA$4,Model!$BT$6:$BT$105)+SUMIF(Model!$CD$6:$CD$105,"&lt;="&amp;AA$4,Model!$CC$6:$CC$105)+SUMIF(Model!$CM$6:$CM$105,"&lt;="&amp;AA$4,Model!$CL$6:$CL$105)+SUMIF(Model!$CV$6:$CV$105,"&lt;="&amp;AA$4,Model!$CU$6:$CU$105)-(Model!$I$5+$BX$6))</f>
        <v>0</v>
      </c>
      <c r="AB20" s="155">
        <f ca="1">MAX(0,SUMIF(Model!$AB$6:$AB$105,"&lt;="&amp;AB$4,Model!$AA$6:$AA$105)+SUMIF(Model!$AK$6:$AK$105,"&lt;="&amp;AB$4,Model!$AJ$6:$AJ$105)+SUMIF(Model!$AT$6:$AT$105,"&lt;="&amp;AB$4,Model!$AS$6:$AS$105)+SUMIF(Model!$BC$6:$BC$105,"&lt;="&amp;AB$4,Model!$BB$6:$BB$105)+SUMIF(Model!$BL$6:$BL$105,"&lt;="&amp;AB$4,Model!$BK$6:$BK$105)+SUMIF(Model!$BU$6:$BU$105,"&lt;="&amp;AB$4,Model!$BT$6:$BT$105)+SUMIF(Model!$CD$6:$CD$105,"&lt;="&amp;AB$4,Model!$CC$6:$CC$105)+SUMIF(Model!$CM$6:$CM$105,"&lt;="&amp;AB$4,Model!$CL$6:$CL$105)+SUMIF(Model!$CV$6:$CV$105,"&lt;="&amp;AB$4,Model!$CU$6:$CU$105)-(Model!$I$5+$BX$6))</f>
        <v>0</v>
      </c>
      <c r="AC20" s="155">
        <f ca="1">MAX(0,SUMIF(Model!$AB$6:$AB$105,"&lt;="&amp;AC$4,Model!$AA$6:$AA$105)+SUMIF(Model!$AK$6:$AK$105,"&lt;="&amp;AC$4,Model!$AJ$6:$AJ$105)+SUMIF(Model!$AT$6:$AT$105,"&lt;="&amp;AC$4,Model!$AS$6:$AS$105)+SUMIF(Model!$BC$6:$BC$105,"&lt;="&amp;AC$4,Model!$BB$6:$BB$105)+SUMIF(Model!$BL$6:$BL$105,"&lt;="&amp;AC$4,Model!$BK$6:$BK$105)+SUMIF(Model!$BU$6:$BU$105,"&lt;="&amp;AC$4,Model!$BT$6:$BT$105)+SUMIF(Model!$CD$6:$CD$105,"&lt;="&amp;AC$4,Model!$CC$6:$CC$105)+SUMIF(Model!$CM$6:$CM$105,"&lt;="&amp;AC$4,Model!$CL$6:$CL$105)+SUMIF(Model!$CV$6:$CV$105,"&lt;="&amp;AC$4,Model!$CU$6:$CU$105)-(Model!$I$5+$BX$6))</f>
        <v>0</v>
      </c>
      <c r="AD20" s="155">
        <f ca="1">MAX(0,SUMIF(Model!$AB$6:$AB$105,"&lt;="&amp;AD$4,Model!$AA$6:$AA$105)+SUMIF(Model!$AK$6:$AK$105,"&lt;="&amp;AD$4,Model!$AJ$6:$AJ$105)+SUMIF(Model!$AT$6:$AT$105,"&lt;="&amp;AD$4,Model!$AS$6:$AS$105)+SUMIF(Model!$BC$6:$BC$105,"&lt;="&amp;AD$4,Model!$BB$6:$BB$105)+SUMIF(Model!$BL$6:$BL$105,"&lt;="&amp;AD$4,Model!$BK$6:$BK$105)+SUMIF(Model!$BU$6:$BU$105,"&lt;="&amp;AD$4,Model!$BT$6:$BT$105)+SUMIF(Model!$CD$6:$CD$105,"&lt;="&amp;AD$4,Model!$CC$6:$CC$105)+SUMIF(Model!$CM$6:$CM$105,"&lt;="&amp;AD$4,Model!$CL$6:$CL$105)+SUMIF(Model!$CV$6:$CV$105,"&lt;="&amp;AD$4,Model!$CU$6:$CU$105)-(Model!$I$5+$BX$6))</f>
        <v>0</v>
      </c>
      <c r="AE20" s="155">
        <f ca="1">MAX(0,SUMIF(Model!$AB$6:$AB$105,"&lt;="&amp;AE$4,Model!$AA$6:$AA$105)+SUMIF(Model!$AK$6:$AK$105,"&lt;="&amp;AE$4,Model!$AJ$6:$AJ$105)+SUMIF(Model!$AT$6:$AT$105,"&lt;="&amp;AE$4,Model!$AS$6:$AS$105)+SUMIF(Model!$BC$6:$BC$105,"&lt;="&amp;AE$4,Model!$BB$6:$BB$105)+SUMIF(Model!$BL$6:$BL$105,"&lt;="&amp;AE$4,Model!$BK$6:$BK$105)+SUMIF(Model!$BU$6:$BU$105,"&lt;="&amp;AE$4,Model!$BT$6:$BT$105)+SUMIF(Model!$CD$6:$CD$105,"&lt;="&amp;AE$4,Model!$CC$6:$CC$105)+SUMIF(Model!$CM$6:$CM$105,"&lt;="&amp;AE$4,Model!$CL$6:$CL$105)+SUMIF(Model!$CV$6:$CV$105,"&lt;="&amp;AE$4,Model!$CU$6:$CU$105)-(Model!$I$5+$BX$6))</f>
        <v>0</v>
      </c>
      <c r="AF20" s="155">
        <f ca="1">MAX(0,SUMIF(Model!$AB$6:$AB$105,"&lt;="&amp;AF$4,Model!$AA$6:$AA$105)+SUMIF(Model!$AK$6:$AK$105,"&lt;="&amp;AF$4,Model!$AJ$6:$AJ$105)+SUMIF(Model!$AT$6:$AT$105,"&lt;="&amp;AF$4,Model!$AS$6:$AS$105)+SUMIF(Model!$BC$6:$BC$105,"&lt;="&amp;AF$4,Model!$BB$6:$BB$105)+SUMIF(Model!$BL$6:$BL$105,"&lt;="&amp;AF$4,Model!$BK$6:$BK$105)+SUMIF(Model!$BU$6:$BU$105,"&lt;="&amp;AF$4,Model!$BT$6:$BT$105)+SUMIF(Model!$CD$6:$CD$105,"&lt;="&amp;AF$4,Model!$CC$6:$CC$105)+SUMIF(Model!$CM$6:$CM$105,"&lt;="&amp;AF$4,Model!$CL$6:$CL$105)+SUMIF(Model!$CV$6:$CV$105,"&lt;="&amp;AF$4,Model!$CU$6:$CU$105)-(Model!$I$5+$BX$6))</f>
        <v>0</v>
      </c>
      <c r="AG20" s="155">
        <f ca="1">MAX(0,SUMIF(Model!$AB$6:$AB$105,"&lt;="&amp;AG$4,Model!$AA$6:$AA$105)+SUMIF(Model!$AK$6:$AK$105,"&lt;="&amp;AG$4,Model!$AJ$6:$AJ$105)+SUMIF(Model!$AT$6:$AT$105,"&lt;="&amp;AG$4,Model!$AS$6:$AS$105)+SUMIF(Model!$BC$6:$BC$105,"&lt;="&amp;AG$4,Model!$BB$6:$BB$105)+SUMIF(Model!$BL$6:$BL$105,"&lt;="&amp;AG$4,Model!$BK$6:$BK$105)+SUMIF(Model!$BU$6:$BU$105,"&lt;="&amp;AG$4,Model!$BT$6:$BT$105)+SUMIF(Model!$CD$6:$CD$105,"&lt;="&amp;AG$4,Model!$CC$6:$CC$105)+SUMIF(Model!$CM$6:$CM$105,"&lt;="&amp;AG$4,Model!$CL$6:$CL$105)+SUMIF(Model!$CV$6:$CV$105,"&lt;="&amp;AG$4,Model!$CU$6:$CU$105)-(Model!$I$5+$BX$6))</f>
        <v>0</v>
      </c>
      <c r="AH20" s="155">
        <f ca="1">MAX(0,SUMIF(Model!$AB$6:$AB$105,"&lt;="&amp;AH$4,Model!$AA$6:$AA$105)+SUMIF(Model!$AK$6:$AK$105,"&lt;="&amp;AH$4,Model!$AJ$6:$AJ$105)+SUMIF(Model!$AT$6:$AT$105,"&lt;="&amp;AH$4,Model!$AS$6:$AS$105)+SUMIF(Model!$BC$6:$BC$105,"&lt;="&amp;AH$4,Model!$BB$6:$BB$105)+SUMIF(Model!$BL$6:$BL$105,"&lt;="&amp;AH$4,Model!$BK$6:$BK$105)+SUMIF(Model!$BU$6:$BU$105,"&lt;="&amp;AH$4,Model!$BT$6:$BT$105)+SUMIF(Model!$CD$6:$CD$105,"&lt;="&amp;AH$4,Model!$CC$6:$CC$105)+SUMIF(Model!$CM$6:$CM$105,"&lt;="&amp;AH$4,Model!$CL$6:$CL$105)+SUMIF(Model!$CV$6:$CV$105,"&lt;="&amp;AH$4,Model!$CU$6:$CU$105)-(Model!$I$5+$BX$6))</f>
        <v>0</v>
      </c>
      <c r="AI20" s="155">
        <f ca="1">MAX(0,SUMIF(Model!$AB$6:$AB$105,"&lt;="&amp;AI$4,Model!$AA$6:$AA$105)+SUMIF(Model!$AK$6:$AK$105,"&lt;="&amp;AI$4,Model!$AJ$6:$AJ$105)+SUMIF(Model!$AT$6:$AT$105,"&lt;="&amp;AI$4,Model!$AS$6:$AS$105)+SUMIF(Model!$BC$6:$BC$105,"&lt;="&amp;AI$4,Model!$BB$6:$BB$105)+SUMIF(Model!$BL$6:$BL$105,"&lt;="&amp;AI$4,Model!$BK$6:$BK$105)+SUMIF(Model!$BU$6:$BU$105,"&lt;="&amp;AI$4,Model!$BT$6:$BT$105)+SUMIF(Model!$CD$6:$CD$105,"&lt;="&amp;AI$4,Model!$CC$6:$CC$105)+SUMIF(Model!$CM$6:$CM$105,"&lt;="&amp;AI$4,Model!$CL$6:$CL$105)+SUMIF(Model!$CV$6:$CV$105,"&lt;="&amp;AI$4,Model!$CU$6:$CU$105)-(Model!$I$5+$BX$6))</f>
        <v>0</v>
      </c>
      <c r="AJ20" s="155">
        <f ca="1">MAX(0,SUMIF(Model!$AB$6:$AB$105,"&lt;="&amp;AJ$4,Model!$AA$6:$AA$105)+SUMIF(Model!$AK$6:$AK$105,"&lt;="&amp;AJ$4,Model!$AJ$6:$AJ$105)+SUMIF(Model!$AT$6:$AT$105,"&lt;="&amp;AJ$4,Model!$AS$6:$AS$105)+SUMIF(Model!$BC$6:$BC$105,"&lt;="&amp;AJ$4,Model!$BB$6:$BB$105)+SUMIF(Model!$BL$6:$BL$105,"&lt;="&amp;AJ$4,Model!$BK$6:$BK$105)+SUMIF(Model!$BU$6:$BU$105,"&lt;="&amp;AJ$4,Model!$BT$6:$BT$105)+SUMIF(Model!$CD$6:$CD$105,"&lt;="&amp;AJ$4,Model!$CC$6:$CC$105)+SUMIF(Model!$CM$6:$CM$105,"&lt;="&amp;AJ$4,Model!$CL$6:$CL$105)+SUMIF(Model!$CV$6:$CV$105,"&lt;="&amp;AJ$4,Model!$CU$6:$CU$105)-(Model!$I$5+$BX$6))</f>
        <v>0</v>
      </c>
      <c r="AK20" s="155">
        <f ca="1">MAX(0,SUMIF(Model!$AB$6:$AB$105,"&lt;="&amp;AK$4,Model!$AA$6:$AA$105)+SUMIF(Model!$AK$6:$AK$105,"&lt;="&amp;AK$4,Model!$AJ$6:$AJ$105)+SUMIF(Model!$AT$6:$AT$105,"&lt;="&amp;AK$4,Model!$AS$6:$AS$105)+SUMIF(Model!$BC$6:$BC$105,"&lt;="&amp;AK$4,Model!$BB$6:$BB$105)+SUMIF(Model!$BL$6:$BL$105,"&lt;="&amp;AK$4,Model!$BK$6:$BK$105)+SUMIF(Model!$BU$6:$BU$105,"&lt;="&amp;AK$4,Model!$BT$6:$BT$105)+SUMIF(Model!$CD$6:$CD$105,"&lt;="&amp;AK$4,Model!$CC$6:$CC$105)+SUMIF(Model!$CM$6:$CM$105,"&lt;="&amp;AK$4,Model!$CL$6:$CL$105)+SUMIF(Model!$CV$6:$CV$105,"&lt;="&amp;AK$4,Model!$CU$6:$CU$105)-(Model!$I$5+$BX$6))</f>
        <v>0</v>
      </c>
      <c r="AL20" s="155">
        <f ca="1">MAX(0,SUMIF(Model!$AB$6:$AB$105,"&lt;="&amp;AL$4,Model!$AA$6:$AA$105)+SUMIF(Model!$AK$6:$AK$105,"&lt;="&amp;AL$4,Model!$AJ$6:$AJ$105)+SUMIF(Model!$AT$6:$AT$105,"&lt;="&amp;AL$4,Model!$AS$6:$AS$105)+SUMIF(Model!$BC$6:$BC$105,"&lt;="&amp;AL$4,Model!$BB$6:$BB$105)+SUMIF(Model!$BL$6:$BL$105,"&lt;="&amp;AL$4,Model!$BK$6:$BK$105)+SUMIF(Model!$BU$6:$BU$105,"&lt;="&amp;AL$4,Model!$BT$6:$BT$105)+SUMIF(Model!$CD$6:$CD$105,"&lt;="&amp;AL$4,Model!$CC$6:$CC$105)+SUMIF(Model!$CM$6:$CM$105,"&lt;="&amp;AL$4,Model!$CL$6:$CL$105)+SUMIF(Model!$CV$6:$CV$105,"&lt;="&amp;AL$4,Model!$CU$6:$CU$105)-(Model!$I$5+$BX$6))</f>
        <v>0</v>
      </c>
      <c r="AM20" s="155">
        <f ca="1">MAX(0,SUMIF(Model!$AB$6:$AB$105,"&lt;="&amp;AM$4,Model!$AA$6:$AA$105)+SUMIF(Model!$AK$6:$AK$105,"&lt;="&amp;AM$4,Model!$AJ$6:$AJ$105)+SUMIF(Model!$AT$6:$AT$105,"&lt;="&amp;AM$4,Model!$AS$6:$AS$105)+SUMIF(Model!$BC$6:$BC$105,"&lt;="&amp;AM$4,Model!$BB$6:$BB$105)+SUMIF(Model!$BL$6:$BL$105,"&lt;="&amp;AM$4,Model!$BK$6:$BK$105)+SUMIF(Model!$BU$6:$BU$105,"&lt;="&amp;AM$4,Model!$BT$6:$BT$105)+SUMIF(Model!$CD$6:$CD$105,"&lt;="&amp;AM$4,Model!$CC$6:$CC$105)+SUMIF(Model!$CM$6:$CM$105,"&lt;="&amp;AM$4,Model!$CL$6:$CL$105)+SUMIF(Model!$CV$6:$CV$105,"&lt;="&amp;AM$4,Model!$CU$6:$CU$105)-(Model!$I$5+$BX$6))</f>
        <v>0</v>
      </c>
      <c r="AN20" s="155">
        <f ca="1">MAX(0,SUMIF(Model!$AB$6:$AB$105,"&lt;="&amp;AN$4,Model!$AA$6:$AA$105)+SUMIF(Model!$AK$6:$AK$105,"&lt;="&amp;AN$4,Model!$AJ$6:$AJ$105)+SUMIF(Model!$AT$6:$AT$105,"&lt;="&amp;AN$4,Model!$AS$6:$AS$105)+SUMIF(Model!$BC$6:$BC$105,"&lt;="&amp;AN$4,Model!$BB$6:$BB$105)+SUMIF(Model!$BL$6:$BL$105,"&lt;="&amp;AN$4,Model!$BK$6:$BK$105)+SUMIF(Model!$BU$6:$BU$105,"&lt;="&amp;AN$4,Model!$BT$6:$BT$105)+SUMIF(Model!$CD$6:$CD$105,"&lt;="&amp;AN$4,Model!$CC$6:$CC$105)+SUMIF(Model!$CM$6:$CM$105,"&lt;="&amp;AN$4,Model!$CL$6:$CL$105)+SUMIF(Model!$CV$6:$CV$105,"&lt;="&amp;AN$4,Model!$CU$6:$CU$105)-(Model!$I$5+$BX$6))</f>
        <v>0</v>
      </c>
      <c r="AO20" s="155">
        <f ca="1">MAX(0,SUMIF(Model!$AB$6:$AB$105,"&lt;="&amp;AO$4,Model!$AA$6:$AA$105)+SUMIF(Model!$AK$6:$AK$105,"&lt;="&amp;AO$4,Model!$AJ$6:$AJ$105)+SUMIF(Model!$AT$6:$AT$105,"&lt;="&amp;AO$4,Model!$AS$6:$AS$105)+SUMIF(Model!$BC$6:$BC$105,"&lt;="&amp;AO$4,Model!$BB$6:$BB$105)+SUMIF(Model!$BL$6:$BL$105,"&lt;="&amp;AO$4,Model!$BK$6:$BK$105)+SUMIF(Model!$BU$6:$BU$105,"&lt;="&amp;AO$4,Model!$BT$6:$BT$105)+SUMIF(Model!$CD$6:$CD$105,"&lt;="&amp;AO$4,Model!$CC$6:$CC$105)+SUMIF(Model!$CM$6:$CM$105,"&lt;="&amp;AO$4,Model!$CL$6:$CL$105)+SUMIF(Model!$CV$6:$CV$105,"&lt;="&amp;AO$4,Model!$CU$6:$CU$105)-(Model!$I$5+$BX$6))</f>
        <v>0</v>
      </c>
      <c r="AP20" s="155">
        <f ca="1">MAX(0,SUMIF(Model!$AB$6:$AB$105,"&lt;="&amp;AP$4,Model!$AA$6:$AA$105)+SUMIF(Model!$AK$6:$AK$105,"&lt;="&amp;AP$4,Model!$AJ$6:$AJ$105)+SUMIF(Model!$AT$6:$AT$105,"&lt;="&amp;AP$4,Model!$AS$6:$AS$105)+SUMIF(Model!$BC$6:$BC$105,"&lt;="&amp;AP$4,Model!$BB$6:$BB$105)+SUMIF(Model!$BL$6:$BL$105,"&lt;="&amp;AP$4,Model!$BK$6:$BK$105)+SUMIF(Model!$BU$6:$BU$105,"&lt;="&amp;AP$4,Model!$BT$6:$BT$105)+SUMIF(Model!$CD$6:$CD$105,"&lt;="&amp;AP$4,Model!$CC$6:$CC$105)+SUMIF(Model!$CM$6:$CM$105,"&lt;="&amp;AP$4,Model!$CL$6:$CL$105)+SUMIF(Model!$CV$6:$CV$105,"&lt;="&amp;AP$4,Model!$CU$6:$CU$105)-(Model!$I$5+$BX$6))</f>
        <v>0</v>
      </c>
      <c r="AQ20" s="155">
        <f ca="1">MAX(0,SUMIF(Model!$AB$6:$AB$105,"&lt;="&amp;AQ$4,Model!$AA$6:$AA$105)+SUMIF(Model!$AK$6:$AK$105,"&lt;="&amp;AQ$4,Model!$AJ$6:$AJ$105)+SUMIF(Model!$AT$6:$AT$105,"&lt;="&amp;AQ$4,Model!$AS$6:$AS$105)+SUMIF(Model!$BC$6:$BC$105,"&lt;="&amp;AQ$4,Model!$BB$6:$BB$105)+SUMIF(Model!$BL$6:$BL$105,"&lt;="&amp;AQ$4,Model!$BK$6:$BK$105)+SUMIF(Model!$BU$6:$BU$105,"&lt;="&amp;AQ$4,Model!$BT$6:$BT$105)+SUMIF(Model!$CD$6:$CD$105,"&lt;="&amp;AQ$4,Model!$CC$6:$CC$105)+SUMIF(Model!$CM$6:$CM$105,"&lt;="&amp;AQ$4,Model!$CL$6:$CL$105)+SUMIF(Model!$CV$6:$CV$105,"&lt;="&amp;AQ$4,Model!$CU$6:$CU$105)-(Model!$I$5+$BX$6))</f>
        <v>0</v>
      </c>
      <c r="AR20" s="155">
        <f ca="1">MAX(0,SUMIF(Model!$AB$6:$AB$105,"&lt;="&amp;AR$4,Model!$AA$6:$AA$105)+SUMIF(Model!$AK$6:$AK$105,"&lt;="&amp;AR$4,Model!$AJ$6:$AJ$105)+SUMIF(Model!$AT$6:$AT$105,"&lt;="&amp;AR$4,Model!$AS$6:$AS$105)+SUMIF(Model!$BC$6:$BC$105,"&lt;="&amp;AR$4,Model!$BB$6:$BB$105)+SUMIF(Model!$BL$6:$BL$105,"&lt;="&amp;AR$4,Model!$BK$6:$BK$105)+SUMIF(Model!$BU$6:$BU$105,"&lt;="&amp;AR$4,Model!$BT$6:$BT$105)+SUMIF(Model!$CD$6:$CD$105,"&lt;="&amp;AR$4,Model!$CC$6:$CC$105)+SUMIF(Model!$CM$6:$CM$105,"&lt;="&amp;AR$4,Model!$CL$6:$CL$105)+SUMIF(Model!$CV$6:$CV$105,"&lt;="&amp;AR$4,Model!$CU$6:$CU$105)-(Model!$I$5+$BX$6))</f>
        <v>0</v>
      </c>
      <c r="AS20" s="155">
        <f ca="1">MAX(0,SUMIF(Model!$AB$6:$AB$105,"&lt;="&amp;AS$4,Model!$AA$6:$AA$105)+SUMIF(Model!$AK$6:$AK$105,"&lt;="&amp;AS$4,Model!$AJ$6:$AJ$105)+SUMIF(Model!$AT$6:$AT$105,"&lt;="&amp;AS$4,Model!$AS$6:$AS$105)+SUMIF(Model!$BC$6:$BC$105,"&lt;="&amp;AS$4,Model!$BB$6:$BB$105)+SUMIF(Model!$BL$6:$BL$105,"&lt;="&amp;AS$4,Model!$BK$6:$BK$105)+SUMIF(Model!$BU$6:$BU$105,"&lt;="&amp;AS$4,Model!$BT$6:$BT$105)+SUMIF(Model!$CD$6:$CD$105,"&lt;="&amp;AS$4,Model!$CC$6:$CC$105)+SUMIF(Model!$CM$6:$CM$105,"&lt;="&amp;AS$4,Model!$CL$6:$CL$105)+SUMIF(Model!$CV$6:$CV$105,"&lt;="&amp;AS$4,Model!$CU$6:$CU$105)-(Model!$I$5+$BX$6))</f>
        <v>0</v>
      </c>
      <c r="AT20" s="155">
        <f ca="1">MAX(0,SUMIF(Model!$AB$6:$AB$105,"&lt;="&amp;AT$4,Model!$AA$6:$AA$105)+SUMIF(Model!$AK$6:$AK$105,"&lt;="&amp;AT$4,Model!$AJ$6:$AJ$105)+SUMIF(Model!$AT$6:$AT$105,"&lt;="&amp;AT$4,Model!$AS$6:$AS$105)+SUMIF(Model!$BC$6:$BC$105,"&lt;="&amp;AT$4,Model!$BB$6:$BB$105)+SUMIF(Model!$BL$6:$BL$105,"&lt;="&amp;AT$4,Model!$BK$6:$BK$105)+SUMIF(Model!$BU$6:$BU$105,"&lt;="&amp;AT$4,Model!$BT$6:$BT$105)+SUMIF(Model!$CD$6:$CD$105,"&lt;="&amp;AT$4,Model!$CC$6:$CC$105)+SUMIF(Model!$CM$6:$CM$105,"&lt;="&amp;AT$4,Model!$CL$6:$CL$105)+SUMIF(Model!$CV$6:$CV$105,"&lt;="&amp;AT$4,Model!$CU$6:$CU$105)-(Model!$I$5+$BX$6))</f>
        <v>0</v>
      </c>
      <c r="AU20" s="155">
        <f ca="1">MAX(0,SUMIF(Model!$AB$6:$AB$105,"&lt;="&amp;AU$4,Model!$AA$6:$AA$105)+SUMIF(Model!$AK$6:$AK$105,"&lt;="&amp;AU$4,Model!$AJ$6:$AJ$105)+SUMIF(Model!$AT$6:$AT$105,"&lt;="&amp;AU$4,Model!$AS$6:$AS$105)+SUMIF(Model!$BC$6:$BC$105,"&lt;="&amp;AU$4,Model!$BB$6:$BB$105)+SUMIF(Model!$BL$6:$BL$105,"&lt;="&amp;AU$4,Model!$BK$6:$BK$105)+SUMIF(Model!$BU$6:$BU$105,"&lt;="&amp;AU$4,Model!$BT$6:$BT$105)+SUMIF(Model!$CD$6:$CD$105,"&lt;="&amp;AU$4,Model!$CC$6:$CC$105)+SUMIF(Model!$CM$6:$CM$105,"&lt;="&amp;AU$4,Model!$CL$6:$CL$105)+SUMIF(Model!$CV$6:$CV$105,"&lt;="&amp;AU$4,Model!$CU$6:$CU$105)-(Model!$I$5+$BX$6))</f>
        <v>0</v>
      </c>
      <c r="AV20" s="155">
        <f ca="1">MAX(0,SUMIF(Model!$AB$6:$AB$105,"&lt;="&amp;AV$4,Model!$AA$6:$AA$105)+SUMIF(Model!$AK$6:$AK$105,"&lt;="&amp;AV$4,Model!$AJ$6:$AJ$105)+SUMIF(Model!$AT$6:$AT$105,"&lt;="&amp;AV$4,Model!$AS$6:$AS$105)+SUMIF(Model!$BC$6:$BC$105,"&lt;="&amp;AV$4,Model!$BB$6:$BB$105)+SUMIF(Model!$BL$6:$BL$105,"&lt;="&amp;AV$4,Model!$BK$6:$BK$105)+SUMIF(Model!$BU$6:$BU$105,"&lt;="&amp;AV$4,Model!$BT$6:$BT$105)+SUMIF(Model!$CD$6:$CD$105,"&lt;="&amp;AV$4,Model!$CC$6:$CC$105)+SUMIF(Model!$CM$6:$CM$105,"&lt;="&amp;AV$4,Model!$CL$6:$CL$105)+SUMIF(Model!$CV$6:$CV$105,"&lt;="&amp;AV$4,Model!$CU$6:$CU$105)-(Model!$I$5+$BX$6))</f>
        <v>0</v>
      </c>
      <c r="AW20" s="155">
        <f ca="1">MAX(0,SUMIF(Model!$AB$6:$AB$105,"&lt;="&amp;AW$4,Model!$AA$6:$AA$105)+SUMIF(Model!$AK$6:$AK$105,"&lt;="&amp;AW$4,Model!$AJ$6:$AJ$105)+SUMIF(Model!$AT$6:$AT$105,"&lt;="&amp;AW$4,Model!$AS$6:$AS$105)+SUMIF(Model!$BC$6:$BC$105,"&lt;="&amp;AW$4,Model!$BB$6:$BB$105)+SUMIF(Model!$BL$6:$BL$105,"&lt;="&amp;AW$4,Model!$BK$6:$BK$105)+SUMIF(Model!$BU$6:$BU$105,"&lt;="&amp;AW$4,Model!$BT$6:$BT$105)+SUMIF(Model!$CD$6:$CD$105,"&lt;="&amp;AW$4,Model!$CC$6:$CC$105)+SUMIF(Model!$CM$6:$CM$105,"&lt;="&amp;AW$4,Model!$CL$6:$CL$105)+SUMIF(Model!$CV$6:$CV$105,"&lt;="&amp;AW$4,Model!$CU$6:$CU$105)-(Model!$I$5+$BX$6))</f>
        <v>0</v>
      </c>
      <c r="AX20" s="155">
        <f ca="1">MAX(0,SUMIF(Model!$AB$6:$AB$105,"&lt;="&amp;AX$4,Model!$AA$6:$AA$105)+SUMIF(Model!$AK$6:$AK$105,"&lt;="&amp;AX$4,Model!$AJ$6:$AJ$105)+SUMIF(Model!$AT$6:$AT$105,"&lt;="&amp;AX$4,Model!$AS$6:$AS$105)+SUMIF(Model!$BC$6:$BC$105,"&lt;="&amp;AX$4,Model!$BB$6:$BB$105)+SUMIF(Model!$BL$6:$BL$105,"&lt;="&amp;AX$4,Model!$BK$6:$BK$105)+SUMIF(Model!$BU$6:$BU$105,"&lt;="&amp;AX$4,Model!$BT$6:$BT$105)+SUMIF(Model!$CD$6:$CD$105,"&lt;="&amp;AX$4,Model!$CC$6:$CC$105)+SUMIF(Model!$CM$6:$CM$105,"&lt;="&amp;AX$4,Model!$CL$6:$CL$105)+SUMIF(Model!$CV$6:$CV$105,"&lt;="&amp;AX$4,Model!$CU$6:$CU$105)-(Model!$I$5+$BX$6))</f>
        <v>0</v>
      </c>
      <c r="AY20" s="155">
        <f ca="1">MAX(0,SUMIF(Model!$AB$6:$AB$105,"&lt;="&amp;AY$4,Model!$AA$6:$AA$105)+SUMIF(Model!$AK$6:$AK$105,"&lt;="&amp;AY$4,Model!$AJ$6:$AJ$105)+SUMIF(Model!$AT$6:$AT$105,"&lt;="&amp;AY$4,Model!$AS$6:$AS$105)+SUMIF(Model!$BC$6:$BC$105,"&lt;="&amp;AY$4,Model!$BB$6:$BB$105)+SUMIF(Model!$BL$6:$BL$105,"&lt;="&amp;AY$4,Model!$BK$6:$BK$105)+SUMIF(Model!$BU$6:$BU$105,"&lt;="&amp;AY$4,Model!$BT$6:$BT$105)+SUMIF(Model!$CD$6:$CD$105,"&lt;="&amp;AY$4,Model!$CC$6:$CC$105)+SUMIF(Model!$CM$6:$CM$105,"&lt;="&amp;AY$4,Model!$CL$6:$CL$105)+SUMIF(Model!$CV$6:$CV$105,"&lt;="&amp;AY$4,Model!$CU$6:$CU$105)-(Model!$I$5+$BX$6))</f>
        <v>0</v>
      </c>
      <c r="AZ20" s="155">
        <f ca="1">MAX(0,SUMIF(Model!$AB$6:$AB$105,"&lt;="&amp;AZ$4,Model!$AA$6:$AA$105)+SUMIF(Model!$AK$6:$AK$105,"&lt;="&amp;AZ$4,Model!$AJ$6:$AJ$105)+SUMIF(Model!$AT$6:$AT$105,"&lt;="&amp;AZ$4,Model!$AS$6:$AS$105)+SUMIF(Model!$BC$6:$BC$105,"&lt;="&amp;AZ$4,Model!$BB$6:$BB$105)+SUMIF(Model!$BL$6:$BL$105,"&lt;="&amp;AZ$4,Model!$BK$6:$BK$105)+SUMIF(Model!$BU$6:$BU$105,"&lt;="&amp;AZ$4,Model!$BT$6:$BT$105)+SUMIF(Model!$CD$6:$CD$105,"&lt;="&amp;AZ$4,Model!$CC$6:$CC$105)+SUMIF(Model!$CM$6:$CM$105,"&lt;="&amp;AZ$4,Model!$CL$6:$CL$105)+SUMIF(Model!$CV$6:$CV$105,"&lt;="&amp;AZ$4,Model!$CU$6:$CU$105)-(Model!$I$5+$BX$6))</f>
        <v>0</v>
      </c>
      <c r="BA20" s="155">
        <f ca="1">MAX(0,SUMIF(Model!$AB$6:$AB$105,"&lt;="&amp;BA$4,Model!$AA$6:$AA$105)+SUMIF(Model!$AK$6:$AK$105,"&lt;="&amp;BA$4,Model!$AJ$6:$AJ$105)+SUMIF(Model!$AT$6:$AT$105,"&lt;="&amp;BA$4,Model!$AS$6:$AS$105)+SUMIF(Model!$BC$6:$BC$105,"&lt;="&amp;BA$4,Model!$BB$6:$BB$105)+SUMIF(Model!$BL$6:$BL$105,"&lt;="&amp;BA$4,Model!$BK$6:$BK$105)+SUMIF(Model!$BU$6:$BU$105,"&lt;="&amp;BA$4,Model!$BT$6:$BT$105)+SUMIF(Model!$CD$6:$CD$105,"&lt;="&amp;BA$4,Model!$CC$6:$CC$105)+SUMIF(Model!$CM$6:$CM$105,"&lt;="&amp;BA$4,Model!$CL$6:$CL$105)+SUMIF(Model!$CV$6:$CV$105,"&lt;="&amp;BA$4,Model!$CU$6:$CU$105)-(Model!$I$5+$BX$6))</f>
        <v>0</v>
      </c>
      <c r="BB20" s="155">
        <f ca="1">MAX(0,SUMIF(Model!$AB$6:$AB$105,"&lt;="&amp;BB$4,Model!$AA$6:$AA$105)+SUMIF(Model!$AK$6:$AK$105,"&lt;="&amp;BB$4,Model!$AJ$6:$AJ$105)+SUMIF(Model!$AT$6:$AT$105,"&lt;="&amp;BB$4,Model!$AS$6:$AS$105)+SUMIF(Model!$BC$6:$BC$105,"&lt;="&amp;BB$4,Model!$BB$6:$BB$105)+SUMIF(Model!$BL$6:$BL$105,"&lt;="&amp;BB$4,Model!$BK$6:$BK$105)+SUMIF(Model!$BU$6:$BU$105,"&lt;="&amp;BB$4,Model!$BT$6:$BT$105)+SUMIF(Model!$CD$6:$CD$105,"&lt;="&amp;BB$4,Model!$CC$6:$CC$105)+SUMIF(Model!$CM$6:$CM$105,"&lt;="&amp;BB$4,Model!$CL$6:$CL$105)+SUMIF(Model!$CV$6:$CV$105,"&lt;="&amp;BB$4,Model!$CU$6:$CU$105)-(Model!$I$5+$BX$6))</f>
        <v>0</v>
      </c>
      <c r="BC20" s="155">
        <f ca="1">MAX(0,SUMIF(Model!$AB$6:$AB$105,"&lt;="&amp;BC$4,Model!$AA$6:$AA$105)+SUMIF(Model!$AK$6:$AK$105,"&lt;="&amp;BC$4,Model!$AJ$6:$AJ$105)+SUMIF(Model!$AT$6:$AT$105,"&lt;="&amp;BC$4,Model!$AS$6:$AS$105)+SUMIF(Model!$BC$6:$BC$105,"&lt;="&amp;BC$4,Model!$BB$6:$BB$105)+SUMIF(Model!$BL$6:$BL$105,"&lt;="&amp;BC$4,Model!$BK$6:$BK$105)+SUMIF(Model!$BU$6:$BU$105,"&lt;="&amp;BC$4,Model!$BT$6:$BT$105)+SUMIF(Model!$CD$6:$CD$105,"&lt;="&amp;BC$4,Model!$CC$6:$CC$105)+SUMIF(Model!$CM$6:$CM$105,"&lt;="&amp;BC$4,Model!$CL$6:$CL$105)+SUMIF(Model!$CV$6:$CV$105,"&lt;="&amp;BC$4,Model!$CU$6:$CU$105)-(Model!$I$5+$BX$6))</f>
        <v>0</v>
      </c>
      <c r="BD20" s="155">
        <f ca="1">MAX(0,SUMIF(Model!$AB$6:$AB$105,"&lt;="&amp;BD$4,Model!$AA$6:$AA$105)+SUMIF(Model!$AK$6:$AK$105,"&lt;="&amp;BD$4,Model!$AJ$6:$AJ$105)+SUMIF(Model!$AT$6:$AT$105,"&lt;="&amp;BD$4,Model!$AS$6:$AS$105)+SUMIF(Model!$BC$6:$BC$105,"&lt;="&amp;BD$4,Model!$BB$6:$BB$105)+SUMIF(Model!$BL$6:$BL$105,"&lt;="&amp;BD$4,Model!$BK$6:$BK$105)+SUMIF(Model!$BU$6:$BU$105,"&lt;="&amp;BD$4,Model!$BT$6:$BT$105)+SUMIF(Model!$CD$6:$CD$105,"&lt;="&amp;BD$4,Model!$CC$6:$CC$105)+SUMIF(Model!$CM$6:$CM$105,"&lt;="&amp;BD$4,Model!$CL$6:$CL$105)+SUMIF(Model!$CV$6:$CV$105,"&lt;="&amp;BD$4,Model!$CU$6:$CU$105)-(Model!$I$5+$BX$6))</f>
        <v>0</v>
      </c>
      <c r="BE20" s="155">
        <f ca="1">MAX(0,SUMIF(Model!$AB$6:$AB$105,"&lt;="&amp;BE$4,Model!$AA$6:$AA$105)+SUMIF(Model!$AK$6:$AK$105,"&lt;="&amp;BE$4,Model!$AJ$6:$AJ$105)+SUMIF(Model!$AT$6:$AT$105,"&lt;="&amp;BE$4,Model!$AS$6:$AS$105)+SUMIF(Model!$BC$6:$BC$105,"&lt;="&amp;BE$4,Model!$BB$6:$BB$105)+SUMIF(Model!$BL$6:$BL$105,"&lt;="&amp;BE$4,Model!$BK$6:$BK$105)+SUMIF(Model!$BU$6:$BU$105,"&lt;="&amp;BE$4,Model!$BT$6:$BT$105)+SUMIF(Model!$CD$6:$CD$105,"&lt;="&amp;BE$4,Model!$CC$6:$CC$105)+SUMIF(Model!$CM$6:$CM$105,"&lt;="&amp;BE$4,Model!$CL$6:$CL$105)+SUMIF(Model!$CV$6:$CV$105,"&lt;="&amp;BE$4,Model!$CU$6:$CU$105)-(Model!$I$5+$BX$6))</f>
        <v>0</v>
      </c>
      <c r="BF20" s="155">
        <f ca="1">MAX(0,SUMIF(Model!$AB$6:$AB$105,"&lt;="&amp;BF$4,Model!$AA$6:$AA$105)+SUMIF(Model!$AK$6:$AK$105,"&lt;="&amp;BF$4,Model!$AJ$6:$AJ$105)+SUMIF(Model!$AT$6:$AT$105,"&lt;="&amp;BF$4,Model!$AS$6:$AS$105)+SUMIF(Model!$BC$6:$BC$105,"&lt;="&amp;BF$4,Model!$BB$6:$BB$105)+SUMIF(Model!$BL$6:$BL$105,"&lt;="&amp;BF$4,Model!$BK$6:$BK$105)+SUMIF(Model!$BU$6:$BU$105,"&lt;="&amp;BF$4,Model!$BT$6:$BT$105)+SUMIF(Model!$CD$6:$CD$105,"&lt;="&amp;BF$4,Model!$CC$6:$CC$105)+SUMIF(Model!$CM$6:$CM$105,"&lt;="&amp;BF$4,Model!$CL$6:$CL$105)+SUMIF(Model!$CV$6:$CV$105,"&lt;="&amp;BF$4,Model!$CU$6:$CU$105)-(Model!$I$5+$BX$6))</f>
        <v>0</v>
      </c>
      <c r="BG20" s="155">
        <f ca="1">MAX(0,SUMIF(Model!$AB$6:$AB$105,"&lt;="&amp;BG$4,Model!$AA$6:$AA$105)+SUMIF(Model!$AK$6:$AK$105,"&lt;="&amp;BG$4,Model!$AJ$6:$AJ$105)+SUMIF(Model!$AT$6:$AT$105,"&lt;="&amp;BG$4,Model!$AS$6:$AS$105)+SUMIF(Model!$BC$6:$BC$105,"&lt;="&amp;BG$4,Model!$BB$6:$BB$105)+SUMIF(Model!$BL$6:$BL$105,"&lt;="&amp;BG$4,Model!$BK$6:$BK$105)+SUMIF(Model!$BU$6:$BU$105,"&lt;="&amp;BG$4,Model!$BT$6:$BT$105)+SUMIF(Model!$CD$6:$CD$105,"&lt;="&amp;BG$4,Model!$CC$6:$CC$105)+SUMIF(Model!$CM$6:$CM$105,"&lt;="&amp;BG$4,Model!$CL$6:$CL$105)+SUMIF(Model!$CV$6:$CV$105,"&lt;="&amp;BG$4,Model!$CU$6:$CU$105)-(Model!$I$5+$BX$6))</f>
        <v>0</v>
      </c>
      <c r="BH20" s="155">
        <f ca="1">MAX(0,SUMIF(Model!$AB$6:$AB$105,"&lt;="&amp;BH$4,Model!$AA$6:$AA$105)+SUMIF(Model!$AK$6:$AK$105,"&lt;="&amp;BH$4,Model!$AJ$6:$AJ$105)+SUMIF(Model!$AT$6:$AT$105,"&lt;="&amp;BH$4,Model!$AS$6:$AS$105)+SUMIF(Model!$BC$6:$BC$105,"&lt;="&amp;BH$4,Model!$BB$6:$BB$105)+SUMIF(Model!$BL$6:$BL$105,"&lt;="&amp;BH$4,Model!$BK$6:$BK$105)+SUMIF(Model!$BU$6:$BU$105,"&lt;="&amp;BH$4,Model!$BT$6:$BT$105)+SUMIF(Model!$CD$6:$CD$105,"&lt;="&amp;BH$4,Model!$CC$6:$CC$105)+SUMIF(Model!$CM$6:$CM$105,"&lt;="&amp;BH$4,Model!$CL$6:$CL$105)+SUMIF(Model!$CV$6:$CV$105,"&lt;="&amp;BH$4,Model!$CU$6:$CU$105)-(Model!$I$5+$BX$6))</f>
        <v>0</v>
      </c>
      <c r="BI20" s="155">
        <f ca="1">MAX(0,SUMIF(Model!$AB$6:$AB$105,"&lt;="&amp;BI$4,Model!$AA$6:$AA$105)+SUMIF(Model!$AK$6:$AK$105,"&lt;="&amp;BI$4,Model!$AJ$6:$AJ$105)+SUMIF(Model!$AT$6:$AT$105,"&lt;="&amp;BI$4,Model!$AS$6:$AS$105)+SUMIF(Model!$BC$6:$BC$105,"&lt;="&amp;BI$4,Model!$BB$6:$BB$105)+SUMIF(Model!$BL$6:$BL$105,"&lt;="&amp;BI$4,Model!$BK$6:$BK$105)+SUMIF(Model!$BU$6:$BU$105,"&lt;="&amp;BI$4,Model!$BT$6:$BT$105)+SUMIF(Model!$CD$6:$CD$105,"&lt;="&amp;BI$4,Model!$CC$6:$CC$105)+SUMIF(Model!$CM$6:$CM$105,"&lt;="&amp;BI$4,Model!$CL$6:$CL$105)+SUMIF(Model!$CV$6:$CV$105,"&lt;="&amp;BI$4,Model!$CU$6:$CU$105)-(Model!$I$5+$BX$6))</f>
        <v>0</v>
      </c>
      <c r="BJ20" s="155">
        <f ca="1">MAX(0,SUMIF(Model!$AB$6:$AB$105,"&lt;="&amp;BJ$4,Model!$AA$6:$AA$105)+SUMIF(Model!$AK$6:$AK$105,"&lt;="&amp;BJ$4,Model!$AJ$6:$AJ$105)+SUMIF(Model!$AT$6:$AT$105,"&lt;="&amp;BJ$4,Model!$AS$6:$AS$105)+SUMIF(Model!$BC$6:$BC$105,"&lt;="&amp;BJ$4,Model!$BB$6:$BB$105)+SUMIF(Model!$BL$6:$BL$105,"&lt;="&amp;BJ$4,Model!$BK$6:$BK$105)+SUMIF(Model!$BU$6:$BU$105,"&lt;="&amp;BJ$4,Model!$BT$6:$BT$105)+SUMIF(Model!$CD$6:$CD$105,"&lt;="&amp;BJ$4,Model!$CC$6:$CC$105)+SUMIF(Model!$CM$6:$CM$105,"&lt;="&amp;BJ$4,Model!$CL$6:$CL$105)+SUMIF(Model!$CV$6:$CV$105,"&lt;="&amp;BJ$4,Model!$CU$6:$CU$105)-(Model!$I$5+$BX$6))</f>
        <v>0</v>
      </c>
      <c r="BK20" s="155">
        <f ca="1">MAX(0,SUMIF(Model!$AB$6:$AB$105,"&lt;="&amp;BK$4,Model!$AA$6:$AA$105)+SUMIF(Model!$AK$6:$AK$105,"&lt;="&amp;BK$4,Model!$AJ$6:$AJ$105)+SUMIF(Model!$AT$6:$AT$105,"&lt;="&amp;BK$4,Model!$AS$6:$AS$105)+SUMIF(Model!$BC$6:$BC$105,"&lt;="&amp;BK$4,Model!$BB$6:$BB$105)+SUMIF(Model!$BL$6:$BL$105,"&lt;="&amp;BK$4,Model!$BK$6:$BK$105)+SUMIF(Model!$BU$6:$BU$105,"&lt;="&amp;BK$4,Model!$BT$6:$BT$105)+SUMIF(Model!$CD$6:$CD$105,"&lt;="&amp;BK$4,Model!$CC$6:$CC$105)+SUMIF(Model!$CM$6:$CM$105,"&lt;="&amp;BK$4,Model!$CL$6:$CL$105)+SUMIF(Model!$CV$6:$CV$105,"&lt;="&amp;BK$4,Model!$CU$6:$CU$105)-(Model!$I$5+$BX$6))</f>
        <v>0</v>
      </c>
      <c r="BL20" s="155">
        <f ca="1">MAX(0,SUMIF(Model!$AB$6:$AB$105,"&lt;="&amp;BL$4,Model!$AA$6:$AA$105)+SUMIF(Model!$AK$6:$AK$105,"&lt;="&amp;BL$4,Model!$AJ$6:$AJ$105)+SUMIF(Model!$AT$6:$AT$105,"&lt;="&amp;BL$4,Model!$AS$6:$AS$105)+SUMIF(Model!$BC$6:$BC$105,"&lt;="&amp;BL$4,Model!$BB$6:$BB$105)+SUMIF(Model!$BL$6:$BL$105,"&lt;="&amp;BL$4,Model!$BK$6:$BK$105)+SUMIF(Model!$BU$6:$BU$105,"&lt;="&amp;BL$4,Model!$BT$6:$BT$105)+SUMIF(Model!$CD$6:$CD$105,"&lt;="&amp;BL$4,Model!$CC$6:$CC$105)+SUMIF(Model!$CM$6:$CM$105,"&lt;="&amp;BL$4,Model!$CL$6:$CL$105)+SUMIF(Model!$CV$6:$CV$105,"&lt;="&amp;BL$4,Model!$CU$6:$CU$105)-(Model!$I$5+$BX$6))</f>
        <v>0</v>
      </c>
      <c r="BM20" s="155">
        <f ca="1">MAX(0,SUMIF(Model!$AB$6:$AB$105,"&lt;="&amp;BM$4,Model!$AA$6:$AA$105)+SUMIF(Model!$AK$6:$AK$105,"&lt;="&amp;BM$4,Model!$AJ$6:$AJ$105)+SUMIF(Model!$AT$6:$AT$105,"&lt;="&amp;BM$4,Model!$AS$6:$AS$105)+SUMIF(Model!$BC$6:$BC$105,"&lt;="&amp;BM$4,Model!$BB$6:$BB$105)+SUMIF(Model!$BL$6:$BL$105,"&lt;="&amp;BM$4,Model!$BK$6:$BK$105)+SUMIF(Model!$BU$6:$BU$105,"&lt;="&amp;BM$4,Model!$BT$6:$BT$105)+SUMIF(Model!$CD$6:$CD$105,"&lt;="&amp;BM$4,Model!$CC$6:$CC$105)+SUMIF(Model!$CM$6:$CM$105,"&lt;="&amp;BM$4,Model!$CL$6:$CL$105)+SUMIF(Model!$CV$6:$CV$105,"&lt;="&amp;BM$4,Model!$CU$6:$CU$105)-(Model!$I$5+$BX$6))</f>
        <v>0</v>
      </c>
      <c r="BN20" s="155">
        <f ca="1">MAX(0,SUMIF(Model!$AB$6:$AB$105,"&lt;="&amp;BN$4,Model!$AA$6:$AA$105)+SUMIF(Model!$AK$6:$AK$105,"&lt;="&amp;BN$4,Model!$AJ$6:$AJ$105)+SUMIF(Model!$AT$6:$AT$105,"&lt;="&amp;BN$4,Model!$AS$6:$AS$105)+SUMIF(Model!$BC$6:$BC$105,"&lt;="&amp;BN$4,Model!$BB$6:$BB$105)+SUMIF(Model!$BL$6:$BL$105,"&lt;="&amp;BN$4,Model!$BK$6:$BK$105)+SUMIF(Model!$BU$6:$BU$105,"&lt;="&amp;BN$4,Model!$BT$6:$BT$105)+SUMIF(Model!$CD$6:$CD$105,"&lt;="&amp;BN$4,Model!$CC$6:$CC$105)+SUMIF(Model!$CM$6:$CM$105,"&lt;="&amp;BN$4,Model!$CL$6:$CL$105)+SUMIF(Model!$CV$6:$CV$105,"&lt;="&amp;BN$4,Model!$CU$6:$CU$105)-(Model!$I$5+$BX$6))</f>
        <v>0</v>
      </c>
      <c r="BO20" s="155">
        <f ca="1">MAX(0,SUMIF(Model!$AB$6:$AB$105,"&lt;="&amp;BO$4,Model!$AA$6:$AA$105)+SUMIF(Model!$AK$6:$AK$105,"&lt;="&amp;BO$4,Model!$AJ$6:$AJ$105)+SUMIF(Model!$AT$6:$AT$105,"&lt;="&amp;BO$4,Model!$AS$6:$AS$105)+SUMIF(Model!$BC$6:$BC$105,"&lt;="&amp;BO$4,Model!$BB$6:$BB$105)+SUMIF(Model!$BL$6:$BL$105,"&lt;="&amp;BO$4,Model!$BK$6:$BK$105)+SUMIF(Model!$BU$6:$BU$105,"&lt;="&amp;BO$4,Model!$BT$6:$BT$105)+SUMIF(Model!$CD$6:$CD$105,"&lt;="&amp;BO$4,Model!$CC$6:$CC$105)+SUMIF(Model!$CM$6:$CM$105,"&lt;="&amp;BO$4,Model!$CL$6:$CL$105)+SUMIF(Model!$CV$6:$CV$105,"&lt;="&amp;BO$4,Model!$CU$6:$CU$105)-(Model!$I$5+$BX$6))</f>
        <v>0</v>
      </c>
      <c r="BP20" s="155">
        <f ca="1">MAX(0,SUMIF(Model!$AB$6:$AB$105,"&lt;="&amp;BP$4,Model!$AA$6:$AA$105)+SUMIF(Model!$AK$6:$AK$105,"&lt;="&amp;BP$4,Model!$AJ$6:$AJ$105)+SUMIF(Model!$AT$6:$AT$105,"&lt;="&amp;BP$4,Model!$AS$6:$AS$105)+SUMIF(Model!$BC$6:$BC$105,"&lt;="&amp;BP$4,Model!$BB$6:$BB$105)+SUMIF(Model!$BL$6:$BL$105,"&lt;="&amp;BP$4,Model!$BK$6:$BK$105)+SUMIF(Model!$BU$6:$BU$105,"&lt;="&amp;BP$4,Model!$BT$6:$BT$105)+SUMIF(Model!$CD$6:$CD$105,"&lt;="&amp;BP$4,Model!$CC$6:$CC$105)+SUMIF(Model!$CM$6:$CM$105,"&lt;="&amp;BP$4,Model!$CL$6:$CL$105)+SUMIF(Model!$CV$6:$CV$105,"&lt;="&amp;BP$4,Model!$CU$6:$CU$105)-(Model!$I$5+$BX$6))</f>
        <v>0</v>
      </c>
      <c r="BQ20" s="155">
        <f ca="1">MAX(0,SUMIF(Model!$AB$6:$AB$105,"&lt;="&amp;BQ$4,Model!$AA$6:$AA$105)+SUMIF(Model!$AK$6:$AK$105,"&lt;="&amp;BQ$4,Model!$AJ$6:$AJ$105)+SUMIF(Model!$AT$6:$AT$105,"&lt;="&amp;BQ$4,Model!$AS$6:$AS$105)+SUMIF(Model!$BC$6:$BC$105,"&lt;="&amp;BQ$4,Model!$BB$6:$BB$105)+SUMIF(Model!$BL$6:$BL$105,"&lt;="&amp;BQ$4,Model!$BK$6:$BK$105)+SUMIF(Model!$BU$6:$BU$105,"&lt;="&amp;BQ$4,Model!$BT$6:$BT$105)+SUMIF(Model!$CD$6:$CD$105,"&lt;="&amp;BQ$4,Model!$CC$6:$CC$105)+SUMIF(Model!$CM$6:$CM$105,"&lt;="&amp;BQ$4,Model!$CL$6:$CL$105)+SUMIF(Model!$CV$6:$CV$105,"&lt;="&amp;BQ$4,Model!$CU$6:$CU$105)-(Model!$I$5+$BX$6))</f>
        <v>0</v>
      </c>
      <c r="BR20" s="155">
        <f ca="1">MAX(0,SUMIF(Model!$AB$6:$AB$105,"&lt;="&amp;BR$4,Model!$AA$6:$AA$105)+SUMIF(Model!$AK$6:$AK$105,"&lt;="&amp;BR$4,Model!$AJ$6:$AJ$105)+SUMIF(Model!$AT$6:$AT$105,"&lt;="&amp;BR$4,Model!$AS$6:$AS$105)+SUMIF(Model!$BC$6:$BC$105,"&lt;="&amp;BR$4,Model!$BB$6:$BB$105)+SUMIF(Model!$BL$6:$BL$105,"&lt;="&amp;BR$4,Model!$BK$6:$BK$105)+SUMIF(Model!$BU$6:$BU$105,"&lt;="&amp;BR$4,Model!$BT$6:$BT$105)+SUMIF(Model!$CD$6:$CD$105,"&lt;="&amp;BR$4,Model!$CC$6:$CC$105)+SUMIF(Model!$CM$6:$CM$105,"&lt;="&amp;BR$4,Model!$CL$6:$CL$105)+SUMIF(Model!$CV$6:$CV$105,"&lt;="&amp;BR$4,Model!$CU$6:$CU$105)-(Model!$I$5+$BX$6))</f>
        <v>0</v>
      </c>
      <c r="BS20" s="155">
        <f ca="1">MAX(0,SUMIF(Model!$AB$6:$AB$105,"&lt;="&amp;BS$4,Model!$AA$6:$AA$105)+SUMIF(Model!$AK$6:$AK$105,"&lt;="&amp;BS$4,Model!$AJ$6:$AJ$105)+SUMIF(Model!$AT$6:$AT$105,"&lt;="&amp;BS$4,Model!$AS$6:$AS$105)+SUMIF(Model!$BC$6:$BC$105,"&lt;="&amp;BS$4,Model!$BB$6:$BB$105)+SUMIF(Model!$BL$6:$BL$105,"&lt;="&amp;BS$4,Model!$BK$6:$BK$105)+SUMIF(Model!$BU$6:$BU$105,"&lt;="&amp;BS$4,Model!$BT$6:$BT$105)+SUMIF(Model!$CD$6:$CD$105,"&lt;="&amp;BS$4,Model!$CC$6:$CC$105)+SUMIF(Model!$CM$6:$CM$105,"&lt;="&amp;BS$4,Model!$CL$6:$CL$105)+SUMIF(Model!$CV$6:$CV$105,"&lt;="&amp;BS$4,Model!$CU$6:$CU$105)-(Model!$I$5+$BX$6))</f>
        <v>0</v>
      </c>
      <c r="BT20" s="155">
        <f ca="1">MAX(0,SUMIF(Model!$AB$6:$AB$105,"&lt;="&amp;BT$4,Model!$AA$6:$AA$105)+SUMIF(Model!$AK$6:$AK$105,"&lt;="&amp;BT$4,Model!$AJ$6:$AJ$105)+SUMIF(Model!$AT$6:$AT$105,"&lt;="&amp;BT$4,Model!$AS$6:$AS$105)+SUMIF(Model!$BC$6:$BC$105,"&lt;="&amp;BT$4,Model!$BB$6:$BB$105)+SUMIF(Model!$BL$6:$BL$105,"&lt;="&amp;BT$4,Model!$BK$6:$BK$105)+SUMIF(Model!$BU$6:$BU$105,"&lt;="&amp;BT$4,Model!$BT$6:$BT$105)+SUMIF(Model!$CD$6:$CD$105,"&lt;="&amp;BT$4,Model!$CC$6:$CC$105)+SUMIF(Model!$CM$6:$CM$105,"&lt;="&amp;BT$4,Model!$CL$6:$CL$105)+SUMIF(Model!$CV$6:$CV$105,"&lt;="&amp;BT$4,Model!$CU$6:$CU$105)-(Model!$I$5+$BX$6))</f>
        <v>0</v>
      </c>
      <c r="BU20" s="155">
        <f ca="1">MAX(0,SUMIF(Model!$AB$6:$AB$105,"&lt;="&amp;BU$4,Model!$AA$6:$AA$105)+SUMIF(Model!$AK$6:$AK$105,"&lt;="&amp;BU$4,Model!$AJ$6:$AJ$105)+SUMIF(Model!$AT$6:$AT$105,"&lt;="&amp;BU$4,Model!$AS$6:$AS$105)+SUMIF(Model!$BC$6:$BC$105,"&lt;="&amp;BU$4,Model!$BB$6:$BB$105)+SUMIF(Model!$BL$6:$BL$105,"&lt;="&amp;BU$4,Model!$BK$6:$BK$105)+SUMIF(Model!$BU$6:$BU$105,"&lt;="&amp;BU$4,Model!$BT$6:$BT$105)+SUMIF(Model!$CD$6:$CD$105,"&lt;="&amp;BU$4,Model!$CC$6:$CC$105)+SUMIF(Model!$CM$6:$CM$105,"&lt;="&amp;BU$4,Model!$CL$6:$CL$105)+SUMIF(Model!$CV$6:$CV$105,"&lt;="&amp;BU$4,Model!$CU$6:$CU$105)-(Model!$I$5+$BX$6))</f>
        <v>0</v>
      </c>
      <c r="BV20" s="155">
        <f ca="1">MAX(0,SUMIF(Model!$AB$6:$AB$105,"&lt;="&amp;BV$4,Model!$AA$6:$AA$105)+SUMIF(Model!$AK$6:$AK$105,"&lt;="&amp;BV$4,Model!$AJ$6:$AJ$105)+SUMIF(Model!$AT$6:$AT$105,"&lt;="&amp;BV$4,Model!$AS$6:$AS$105)+SUMIF(Model!$BC$6:$BC$105,"&lt;="&amp;BV$4,Model!$BB$6:$BB$105)+SUMIF(Model!$BL$6:$BL$105,"&lt;="&amp;BV$4,Model!$BK$6:$BK$105)+SUMIF(Model!$BU$6:$BU$105,"&lt;="&amp;BV$4,Model!$BT$6:$BT$105)+SUMIF(Model!$CD$6:$CD$105,"&lt;="&amp;BV$4,Model!$CC$6:$CC$105)+SUMIF(Model!$CM$6:$CM$105,"&lt;="&amp;BV$4,Model!$CL$6:$CL$105)+SUMIF(Model!$CV$6:$CV$105,"&lt;="&amp;BV$4,Model!$CU$6:$CU$105)-(Model!$I$5+$BX$6))</f>
        <v>0</v>
      </c>
      <c r="BW20" s="155">
        <f ca="1">MAX(0,SUMIF(Model!$AB$6:$AB$105,"&lt;="&amp;BW$4,Model!$AA$6:$AA$105)+SUMIF(Model!$AK$6:$AK$105,"&lt;="&amp;BW$4,Model!$AJ$6:$AJ$105)+SUMIF(Model!$AT$6:$AT$105,"&lt;="&amp;BW$4,Model!$AS$6:$AS$105)+SUMIF(Model!$BC$6:$BC$105,"&lt;="&amp;BW$4,Model!$BB$6:$BB$105)+SUMIF(Model!$BL$6:$BL$105,"&lt;="&amp;BW$4,Model!$BK$6:$BK$105)+SUMIF(Model!$BU$6:$BU$105,"&lt;="&amp;BW$4,Model!$BT$6:$BT$105)+SUMIF(Model!$CD$6:$CD$105,"&lt;="&amp;BW$4,Model!$CC$6:$CC$105)+SUMIF(Model!$CM$6:$CM$105,"&lt;="&amp;BW$4,Model!$CL$6:$CL$105)+SUMIF(Model!$CV$6:$CV$105,"&lt;="&amp;BW$4,Model!$CU$6:$CU$105)-(Model!$I$5+$BX$6))</f>
        <v>0</v>
      </c>
    </row>
    <row r="21" spans="1:76" s="138" customFormat="1" x14ac:dyDescent="0.25">
      <c r="A21" s="2"/>
    </row>
    <row r="22" spans="1:76" x14ac:dyDescent="0.25">
      <c r="B22" s="2" t="s">
        <v>41</v>
      </c>
      <c r="C22" s="83">
        <f t="shared" ref="C22:AH22" si="44">SUM(C23:C25)</f>
        <v>0</v>
      </c>
      <c r="D22" s="83">
        <f t="shared" ca="1" si="44"/>
        <v>0</v>
      </c>
      <c r="E22" s="83">
        <f t="shared" ca="1" si="44"/>
        <v>0</v>
      </c>
      <c r="F22" s="83">
        <f t="shared" ca="1" si="44"/>
        <v>0</v>
      </c>
      <c r="G22" s="83">
        <f t="shared" ca="1" si="44"/>
        <v>0</v>
      </c>
      <c r="H22" s="83">
        <f t="shared" ca="1" si="44"/>
        <v>0</v>
      </c>
      <c r="I22" s="83">
        <f t="shared" ca="1" si="44"/>
        <v>0</v>
      </c>
      <c r="J22" s="83">
        <f t="shared" ca="1" si="44"/>
        <v>0</v>
      </c>
      <c r="K22" s="83">
        <f t="shared" ca="1" si="44"/>
        <v>0</v>
      </c>
      <c r="L22" s="83">
        <f t="shared" ca="1" si="44"/>
        <v>0</v>
      </c>
      <c r="M22" s="83">
        <f t="shared" ca="1" si="44"/>
        <v>0</v>
      </c>
      <c r="N22" s="83">
        <f t="shared" ca="1" si="44"/>
        <v>0</v>
      </c>
      <c r="O22" s="83">
        <f t="shared" ca="1" si="44"/>
        <v>0</v>
      </c>
      <c r="P22" s="83">
        <f t="shared" ca="1" si="44"/>
        <v>0</v>
      </c>
      <c r="Q22" s="83">
        <f t="shared" ca="1" si="44"/>
        <v>0</v>
      </c>
      <c r="R22" s="83">
        <f t="shared" ca="1" si="44"/>
        <v>0</v>
      </c>
      <c r="S22" s="83">
        <f t="shared" ca="1" si="44"/>
        <v>0</v>
      </c>
      <c r="T22" s="83">
        <f t="shared" ca="1" si="44"/>
        <v>0</v>
      </c>
      <c r="U22" s="83">
        <f t="shared" ca="1" si="44"/>
        <v>0</v>
      </c>
      <c r="V22" s="83">
        <f t="shared" ca="1" si="44"/>
        <v>0</v>
      </c>
      <c r="W22" s="83">
        <f t="shared" ca="1" si="44"/>
        <v>0</v>
      </c>
      <c r="X22" s="83">
        <f t="shared" ca="1" si="44"/>
        <v>0</v>
      </c>
      <c r="Y22" s="83">
        <f t="shared" ca="1" si="44"/>
        <v>0</v>
      </c>
      <c r="Z22" s="83">
        <f t="shared" ca="1" si="44"/>
        <v>0</v>
      </c>
      <c r="AA22" s="83">
        <f t="shared" ca="1" si="44"/>
        <v>0</v>
      </c>
      <c r="AB22" s="83">
        <f t="shared" ca="1" si="44"/>
        <v>0</v>
      </c>
      <c r="AC22" s="83">
        <f t="shared" ca="1" si="44"/>
        <v>0</v>
      </c>
      <c r="AD22" s="83">
        <f t="shared" ca="1" si="44"/>
        <v>0</v>
      </c>
      <c r="AE22" s="83">
        <f t="shared" ca="1" si="44"/>
        <v>0</v>
      </c>
      <c r="AF22" s="83">
        <f t="shared" ca="1" si="44"/>
        <v>0</v>
      </c>
      <c r="AG22" s="83">
        <f t="shared" ca="1" si="44"/>
        <v>0</v>
      </c>
      <c r="AH22" s="83">
        <f t="shared" ca="1" si="44"/>
        <v>3046290.8664105833</v>
      </c>
      <c r="AI22" s="83">
        <f t="shared" ref="AI22:BK22" ca="1" si="45">SUM(AI23:AI25)</f>
        <v>14011477.400768245</v>
      </c>
      <c r="AJ22" s="83">
        <f t="shared" ca="1" si="45"/>
        <v>0</v>
      </c>
      <c r="AK22" s="83">
        <f t="shared" ca="1" si="45"/>
        <v>0</v>
      </c>
      <c r="AL22" s="83">
        <f t="shared" ca="1" si="45"/>
        <v>0</v>
      </c>
      <c r="AM22" s="83">
        <f t="shared" ca="1" si="45"/>
        <v>0</v>
      </c>
      <c r="AN22" s="83">
        <f t="shared" ca="1" si="45"/>
        <v>0</v>
      </c>
      <c r="AO22" s="83">
        <f t="shared" ca="1" si="45"/>
        <v>0</v>
      </c>
      <c r="AP22" s="83">
        <f t="shared" ca="1" si="45"/>
        <v>0</v>
      </c>
      <c r="AQ22" s="83">
        <f t="shared" ca="1" si="45"/>
        <v>0</v>
      </c>
      <c r="AR22" s="83">
        <f t="shared" ca="1" si="45"/>
        <v>0</v>
      </c>
      <c r="AS22" s="83">
        <f t="shared" ca="1" si="45"/>
        <v>0</v>
      </c>
      <c r="AT22" s="83">
        <f t="shared" ca="1" si="45"/>
        <v>17762556.535014279</v>
      </c>
      <c r="AU22" s="83">
        <f t="shared" ca="1" si="45"/>
        <v>0</v>
      </c>
      <c r="AV22" s="83">
        <f t="shared" ca="1" si="45"/>
        <v>0</v>
      </c>
      <c r="AW22" s="83">
        <f t="shared" ca="1" si="45"/>
        <v>0</v>
      </c>
      <c r="AX22" s="83">
        <f t="shared" ca="1" si="45"/>
        <v>0</v>
      </c>
      <c r="AY22" s="83">
        <f t="shared" ca="1" si="45"/>
        <v>0</v>
      </c>
      <c r="AZ22" s="83">
        <f t="shared" ca="1" si="45"/>
        <v>48402966.557913914</v>
      </c>
      <c r="BA22" s="83">
        <f t="shared" ca="1" si="45"/>
        <v>0</v>
      </c>
      <c r="BB22" s="83">
        <f t="shared" ca="1" si="45"/>
        <v>2264346.9762631776</v>
      </c>
      <c r="BC22" s="83">
        <f t="shared" ca="1" si="45"/>
        <v>0</v>
      </c>
      <c r="BD22" s="83">
        <f t="shared" ca="1" si="45"/>
        <v>0</v>
      </c>
      <c r="BE22" s="83">
        <f t="shared" ca="1" si="45"/>
        <v>0</v>
      </c>
      <c r="BF22" s="83">
        <f t="shared" ca="1" si="45"/>
        <v>0</v>
      </c>
      <c r="BG22" s="83">
        <f t="shared" ca="1" si="45"/>
        <v>0</v>
      </c>
      <c r="BH22" s="83">
        <f t="shared" ca="1" si="45"/>
        <v>0</v>
      </c>
      <c r="BI22" s="83">
        <f t="shared" ca="1" si="45"/>
        <v>0</v>
      </c>
      <c r="BJ22" s="83">
        <f t="shared" ca="1" si="45"/>
        <v>0</v>
      </c>
      <c r="BK22" s="83">
        <f t="shared" ca="1" si="45"/>
        <v>0</v>
      </c>
      <c r="BL22" s="83">
        <f t="shared" ref="BL22:BW22" ca="1" si="46">SUM(BL23:BL25)</f>
        <v>0</v>
      </c>
      <c r="BM22" s="83">
        <f t="shared" ca="1" si="46"/>
        <v>0</v>
      </c>
      <c r="BN22" s="83">
        <f t="shared" ca="1" si="46"/>
        <v>0</v>
      </c>
      <c r="BO22" s="83">
        <f t="shared" ca="1" si="46"/>
        <v>0</v>
      </c>
      <c r="BP22" s="83">
        <f t="shared" ca="1" si="46"/>
        <v>0</v>
      </c>
      <c r="BQ22" s="83">
        <f t="shared" ca="1" si="46"/>
        <v>0</v>
      </c>
      <c r="BR22" s="83">
        <f t="shared" ca="1" si="46"/>
        <v>0</v>
      </c>
      <c r="BS22" s="83">
        <f t="shared" ca="1" si="46"/>
        <v>0</v>
      </c>
      <c r="BT22" s="83">
        <f t="shared" ca="1" si="46"/>
        <v>0</v>
      </c>
      <c r="BU22" s="83">
        <f t="shared" ca="1" si="46"/>
        <v>0</v>
      </c>
      <c r="BV22" s="83">
        <f t="shared" ca="1" si="46"/>
        <v>0</v>
      </c>
      <c r="BW22" s="83">
        <f t="shared" ca="1" si="46"/>
        <v>0</v>
      </c>
      <c r="BX22" s="156">
        <f ca="1">SUM(C22:BW22)</f>
        <v>85487638.3363702</v>
      </c>
    </row>
    <row r="23" spans="1:76" x14ac:dyDescent="0.25">
      <c r="B23" s="81" t="str">
        <f>TEXT(Model!D33,"0%")&amp;" Carry Up To "&amp;TEXT(Model!E32,"0.0x")</f>
        <v>20% Carry Up To 1.0x</v>
      </c>
      <c r="C23" s="82">
        <v>0</v>
      </c>
      <c r="D23" s="82">
        <f ca="1">(MAX(MIN(SUM($C$14:D14),((Model!$I$7-$BX$6)*Model!$E$32))-((Model!$I$7-$BX$6)*Model!$D$32),0)-MAX(MIN(SUM($C$14:C14),((Model!$I$7-$BX$6)*Model!$E$32))-(Model!$I$7-$BX$6),0))*Model!$D$33</f>
        <v>0</v>
      </c>
      <c r="E23" s="82">
        <f ca="1">(MAX(MIN(SUM($C$14:E14),((Model!$I$7-$BX$6)*Model!$E$32))-((Model!$I$7-$BX$6)*Model!$D$32),0)-MAX(MIN(SUM($C$14:D14),((Model!$I$7-$BX$6)*Model!$E$32))-(Model!$I$7-$BX$6),0))*Model!$D$33</f>
        <v>0</v>
      </c>
      <c r="F23" s="82">
        <f ca="1">(MAX(MIN(SUM($C$14:F14),((Model!$I$7-$BX$6)*Model!$E$32))-((Model!$I$7-$BX$6)*Model!$D$32),0)-MAX(MIN(SUM($C$14:E14),((Model!$I$7-$BX$6)*Model!$E$32))-(Model!$I$7-$BX$6),0))*Model!$D$33</f>
        <v>0</v>
      </c>
      <c r="G23" s="82">
        <f ca="1">(MAX(MIN(SUM($C$14:G14),((Model!$I$7-$BX$6)*Model!$E$32))-((Model!$I$7-$BX$6)*Model!$D$32),0)-MAX(MIN(SUM($C$14:F14),((Model!$I$7-$BX$6)*Model!$E$32))-(Model!$I$7-$BX$6),0))*Model!$D$33</f>
        <v>0</v>
      </c>
      <c r="H23" s="82">
        <f ca="1">(MAX(MIN(SUM($C$14:H14),((Model!$I$7-$BX$6)*Model!$E$32))-((Model!$I$7-$BX$6)*Model!$D$32),0)-MAX(MIN(SUM($C$14:G14),((Model!$I$7-$BX$6)*Model!$E$32))-(Model!$I$7-$BX$6),0))*Model!$D$33</f>
        <v>0</v>
      </c>
      <c r="I23" s="82">
        <f ca="1">(MAX(MIN(SUM($C$14:I14),((Model!$I$7-$BX$6)*Model!$E$32))-((Model!$I$7-$BX$6)*Model!$D$32),0)-MAX(MIN(SUM($C$14:H14),((Model!$I$7-$BX$6)*Model!$E$32))-(Model!$I$7-$BX$6),0))*Model!$D$33</f>
        <v>0</v>
      </c>
      <c r="J23" s="82">
        <f ca="1">(MAX(MIN(SUM($C$14:J14),((Model!$I$7-$BX$6)*Model!$E$32))-((Model!$I$7-$BX$6)*Model!$D$32),0)-MAX(MIN(SUM($C$14:I14),((Model!$I$7-$BX$6)*Model!$E$32))-(Model!$I$7-$BX$6),0))*Model!$D$33</f>
        <v>0</v>
      </c>
      <c r="K23" s="82">
        <f ca="1">(MAX(MIN(SUM($C$14:K14),((Model!$I$7-$BX$6)*Model!$E$32))-((Model!$I$7-$BX$6)*Model!$D$32),0)-MAX(MIN(SUM($C$14:J14),((Model!$I$7-$BX$6)*Model!$E$32))-(Model!$I$7-$BX$6),0))*Model!$D$33</f>
        <v>0</v>
      </c>
      <c r="L23" s="82">
        <f ca="1">(MAX(MIN(SUM($C$14:L14),((Model!$I$7-$BX$6)*Model!$E$32))-((Model!$I$7-$BX$6)*Model!$D$32),0)-MAX(MIN(SUM($C$14:K14),((Model!$I$7-$BX$6)*Model!$E$32))-(Model!$I$7-$BX$6),0))*Model!$D$33</f>
        <v>0</v>
      </c>
      <c r="M23" s="82">
        <f ca="1">(MAX(MIN(SUM($C$14:M14),((Model!$I$7-$BX$6)*Model!$E$32))-((Model!$I$7-$BX$6)*Model!$D$32),0)-MAX(MIN(SUM($C$14:L14),((Model!$I$7-$BX$6)*Model!$E$32))-(Model!$I$7-$BX$6),0))*Model!$D$33</f>
        <v>0</v>
      </c>
      <c r="N23" s="82">
        <f ca="1">(MAX(MIN(SUM($C$14:N14),((Model!$I$7-$BX$6)*Model!$E$32))-((Model!$I$7-$BX$6)*Model!$D$32),0)-MAX(MIN(SUM($C$14:M14),((Model!$I$7-$BX$6)*Model!$E$32))-(Model!$I$7-$BX$6),0))*Model!$D$33</f>
        <v>0</v>
      </c>
      <c r="O23" s="82">
        <f ca="1">(MAX(MIN(SUM($C$14:O14),((Model!$I$7-$BX$6)*Model!$E$32))-((Model!$I$7-$BX$6)*Model!$D$32),0)-MAX(MIN(SUM($C$14:N14),((Model!$I$7-$BX$6)*Model!$E$32))-(Model!$I$7-$BX$6),0))*Model!$D$33</f>
        <v>0</v>
      </c>
      <c r="P23" s="82">
        <f ca="1">(MAX(MIN(SUM($C$14:P14),((Model!$I$7-$BX$6)*Model!$E$32))-((Model!$I$7-$BX$6)*Model!$D$32),0)-MAX(MIN(SUM($C$14:O14),((Model!$I$7-$BX$6)*Model!$E$32))-(Model!$I$7-$BX$6),0))*Model!$D$33</f>
        <v>0</v>
      </c>
      <c r="Q23" s="82">
        <f ca="1">(MAX(MIN(SUM($C$14:Q14),((Model!$I$7-$BX$6)*Model!$E$32))-((Model!$I$7-$BX$6)*Model!$D$32),0)-MAX(MIN(SUM($C$14:P14),((Model!$I$7-$BX$6)*Model!$E$32))-(Model!$I$7-$BX$6),0))*Model!$D$33</f>
        <v>0</v>
      </c>
      <c r="R23" s="82">
        <f ca="1">(MAX(MIN(SUM($C$14:R14),((Model!$I$7-$BX$6)*Model!$E$32))-((Model!$I$7-$BX$6)*Model!$D$32),0)-MAX(MIN(SUM($C$14:Q14),((Model!$I$7-$BX$6)*Model!$E$32))-(Model!$I$7-$BX$6),0))*Model!$D$33</f>
        <v>0</v>
      </c>
      <c r="S23" s="82">
        <f ca="1">(MAX(MIN(SUM($C$14:S14),((Model!$I$7-$BX$6)*Model!$E$32))-((Model!$I$7-$BX$6)*Model!$D$32),0)-MAX(MIN(SUM($C$14:R14),((Model!$I$7-$BX$6)*Model!$E$32))-(Model!$I$7-$BX$6),0))*Model!$D$33</f>
        <v>0</v>
      </c>
      <c r="T23" s="82">
        <f ca="1">(MAX(MIN(SUM($C$14:T14),((Model!$I$7-$BX$6)*Model!$E$32))-((Model!$I$7-$BX$6)*Model!$D$32),0)-MAX(MIN(SUM($C$14:S14),((Model!$I$7-$BX$6)*Model!$E$32))-(Model!$I$7-$BX$6),0))*Model!$D$33</f>
        <v>0</v>
      </c>
      <c r="U23" s="82">
        <f ca="1">(MAX(MIN(SUM($C$14:U14),((Model!$I$7-$BX$6)*Model!$E$32))-((Model!$I$7-$BX$6)*Model!$D$32),0)-MAX(MIN(SUM($C$14:T14),((Model!$I$7-$BX$6)*Model!$E$32))-(Model!$I$7-$BX$6),0))*Model!$D$33</f>
        <v>0</v>
      </c>
      <c r="V23" s="82">
        <f ca="1">(MAX(MIN(SUM($C$14:V14),((Model!$I$7-$BX$6)*Model!$E$32))-((Model!$I$7-$BX$6)*Model!$D$32),0)-MAX(MIN(SUM($C$14:U14),((Model!$I$7-$BX$6)*Model!$E$32))-(Model!$I$7-$BX$6),0))*Model!$D$33</f>
        <v>0</v>
      </c>
      <c r="W23" s="82">
        <f ca="1">(MAX(MIN(SUM($C$14:W14),((Model!$I$7-$BX$6)*Model!$E$32))-((Model!$I$7-$BX$6)*Model!$D$32),0)-MAX(MIN(SUM($C$14:V14),((Model!$I$7-$BX$6)*Model!$E$32))-(Model!$I$7-$BX$6),0))*Model!$D$33</f>
        <v>0</v>
      </c>
      <c r="X23" s="82">
        <f ca="1">(MAX(MIN(SUM($C$14:X14),((Model!$I$7-$BX$6)*Model!$E$32))-((Model!$I$7-$BX$6)*Model!$D$32),0)-MAX(MIN(SUM($C$14:W14),((Model!$I$7-$BX$6)*Model!$E$32))-(Model!$I$7-$BX$6),0))*Model!$D$33</f>
        <v>0</v>
      </c>
      <c r="Y23" s="82">
        <f ca="1">(MAX(MIN(SUM($C$14:Y14),((Model!$I$7-$BX$6)*Model!$E$32))-((Model!$I$7-$BX$6)*Model!$D$32),0)-MAX(MIN(SUM($C$14:X14),((Model!$I$7-$BX$6)*Model!$E$32))-(Model!$I$7-$BX$6),0))*Model!$D$33</f>
        <v>0</v>
      </c>
      <c r="Z23" s="82">
        <f ca="1">(MAX(MIN(SUM($C$14:Z14),((Model!$I$7-$BX$6)*Model!$E$32))-((Model!$I$7-$BX$6)*Model!$D$32),0)-MAX(MIN(SUM($C$14:Y14),((Model!$I$7-$BX$6)*Model!$E$32))-(Model!$I$7-$BX$6),0))*Model!$D$33</f>
        <v>0</v>
      </c>
      <c r="AA23" s="82">
        <f ca="1">(MAX(MIN(SUM($C$14:AA14),((Model!$I$7-$BX$6)*Model!$E$32))-((Model!$I$7-$BX$6)*Model!$D$32),0)-MAX(MIN(SUM($C$14:Z14),((Model!$I$7-$BX$6)*Model!$E$32))-(Model!$I$7-$BX$6),0))*Model!$D$33</f>
        <v>0</v>
      </c>
      <c r="AB23" s="82">
        <f ca="1">(MAX(MIN(SUM($C$14:AB14),((Model!$I$7-$BX$6)*Model!$E$32))-((Model!$I$7-$BX$6)*Model!$D$32),0)-MAX(MIN(SUM($C$14:AA14),((Model!$I$7-$BX$6)*Model!$E$32))-(Model!$I$7-$BX$6),0))*Model!$D$33</f>
        <v>0</v>
      </c>
      <c r="AC23" s="82">
        <f ca="1">(MAX(MIN(SUM($C$14:AC14),((Model!$I$7-$BX$6)*Model!$E$32))-((Model!$I$7-$BX$6)*Model!$D$32),0)-MAX(MIN(SUM($C$14:AB14),((Model!$I$7-$BX$6)*Model!$E$32))-(Model!$I$7-$BX$6),0))*Model!$D$33</f>
        <v>0</v>
      </c>
      <c r="AD23" s="82">
        <f ca="1">(MAX(MIN(SUM($C$14:AD14),((Model!$I$7-$BX$6)*Model!$E$32))-((Model!$I$7-$BX$6)*Model!$D$32),0)-MAX(MIN(SUM($C$14:AC14),((Model!$I$7-$BX$6)*Model!$E$32))-(Model!$I$7-$BX$6),0))*Model!$D$33</f>
        <v>0</v>
      </c>
      <c r="AE23" s="82">
        <f ca="1">(MAX(MIN(SUM($C$14:AE14),((Model!$I$7-$BX$6)*Model!$E$32))-((Model!$I$7-$BX$6)*Model!$D$32),0)-MAX(MIN(SUM($C$14:AD14),((Model!$I$7-$BX$6)*Model!$E$32))-(Model!$I$7-$BX$6),0))*Model!$D$33</f>
        <v>0</v>
      </c>
      <c r="AF23" s="82">
        <f ca="1">(MAX(MIN(SUM($C$14:AF14),((Model!$I$7-$BX$6)*Model!$E$32))-((Model!$I$7-$BX$6)*Model!$D$32),0)-MAX(MIN(SUM($C$14:AE14),((Model!$I$7-$BX$6)*Model!$E$32))-(Model!$I$7-$BX$6),0))*Model!$D$33</f>
        <v>0</v>
      </c>
      <c r="AG23" s="82">
        <f ca="1">(MAX(MIN(SUM($C$14:AG14),((Model!$I$7-$BX$6)*Model!$E$32))-((Model!$I$7-$BX$6)*Model!$D$32),0)-MAX(MIN(SUM($C$14:AF14),((Model!$I$7-$BX$6)*Model!$E$32))-(Model!$I$7-$BX$6),0))*Model!$D$33</f>
        <v>0</v>
      </c>
      <c r="AH23" s="82">
        <f ca="1">(MAX(MIN(SUM($C$14:AH14),((Model!$I$7-$BX$6)*Model!$E$32))-((Model!$I$7-$BX$6)*Model!$D$32),0)-MAX(MIN(SUM($C$14:AG14),((Model!$I$7-$BX$6)*Model!$E$32))-(Model!$I$7-$BX$6),0))*Model!$D$33</f>
        <v>0</v>
      </c>
      <c r="AI23" s="82">
        <f ca="1">(MAX(MIN(SUM($C$14:AI14),((Model!$I$7-$BX$6)*Model!$E$32))-((Model!$I$7-$BX$6)*Model!$D$32),0)-MAX(MIN(SUM($C$14:AH14),((Model!$I$7-$BX$6)*Model!$E$32))-(Model!$I$7-$BX$6),0))*Model!$D$33</f>
        <v>0</v>
      </c>
      <c r="AJ23" s="82">
        <f ca="1">(MAX(MIN(SUM($C$14:AJ14),((Model!$I$7-$BX$6)*Model!$E$32))-((Model!$I$7-$BX$6)*Model!$D$32),0)-MAX(MIN(SUM($C$14:AI14),((Model!$I$7-$BX$6)*Model!$E$32))-(Model!$I$7-$BX$6),0))*Model!$D$33</f>
        <v>0</v>
      </c>
      <c r="AK23" s="82">
        <f ca="1">(MAX(MIN(SUM($C$14:AK14),((Model!$I$7-$BX$6)*Model!$E$32))-((Model!$I$7-$BX$6)*Model!$D$32),0)-MAX(MIN(SUM($C$14:AJ14),((Model!$I$7-$BX$6)*Model!$E$32))-(Model!$I$7-$BX$6),0))*Model!$D$33</f>
        <v>0</v>
      </c>
      <c r="AL23" s="82">
        <f ca="1">(MAX(MIN(SUM($C$14:AL14),((Model!$I$7-$BX$6)*Model!$E$32))-((Model!$I$7-$BX$6)*Model!$D$32),0)-MAX(MIN(SUM($C$14:AK14),((Model!$I$7-$BX$6)*Model!$E$32))-(Model!$I$7-$BX$6),0))*Model!$D$33</f>
        <v>0</v>
      </c>
      <c r="AM23" s="82">
        <f ca="1">(MAX(MIN(SUM($C$14:AM14),((Model!$I$7-$BX$6)*Model!$E$32))-((Model!$I$7-$BX$6)*Model!$D$32),0)-MAX(MIN(SUM($C$14:AL14),((Model!$I$7-$BX$6)*Model!$E$32))-(Model!$I$7-$BX$6),0))*Model!$D$33</f>
        <v>0</v>
      </c>
      <c r="AN23" s="82">
        <f ca="1">(MAX(MIN(SUM($C$14:AN14),((Model!$I$7-$BX$6)*Model!$E$32))-((Model!$I$7-$BX$6)*Model!$D$32),0)-MAX(MIN(SUM($C$14:AM14),((Model!$I$7-$BX$6)*Model!$E$32))-(Model!$I$7-$BX$6),0))*Model!$D$33</f>
        <v>0</v>
      </c>
      <c r="AO23" s="82">
        <f ca="1">(MAX(MIN(SUM($C$14:AO14),((Model!$I$7-$BX$6)*Model!$E$32))-((Model!$I$7-$BX$6)*Model!$D$32),0)-MAX(MIN(SUM($C$14:AN14),((Model!$I$7-$BX$6)*Model!$E$32))-(Model!$I$7-$BX$6),0))*Model!$D$33</f>
        <v>0</v>
      </c>
      <c r="AP23" s="82">
        <f ca="1">(MAX(MIN(SUM($C$14:AP14),((Model!$I$7-$BX$6)*Model!$E$32))-((Model!$I$7-$BX$6)*Model!$D$32),0)-MAX(MIN(SUM($C$14:AO14),((Model!$I$7-$BX$6)*Model!$E$32))-(Model!$I$7-$BX$6),0))*Model!$D$33</f>
        <v>0</v>
      </c>
      <c r="AQ23" s="82">
        <f ca="1">(MAX(MIN(SUM($C$14:AQ14),((Model!$I$7-$BX$6)*Model!$E$32))-((Model!$I$7-$BX$6)*Model!$D$32),0)-MAX(MIN(SUM($C$14:AP14),((Model!$I$7-$BX$6)*Model!$E$32))-(Model!$I$7-$BX$6),0))*Model!$D$33</f>
        <v>0</v>
      </c>
      <c r="AR23" s="82">
        <f ca="1">(MAX(MIN(SUM($C$14:AR14),((Model!$I$7-$BX$6)*Model!$E$32))-((Model!$I$7-$BX$6)*Model!$D$32),0)-MAX(MIN(SUM($C$14:AQ14),((Model!$I$7-$BX$6)*Model!$E$32))-(Model!$I$7-$BX$6),0))*Model!$D$33</f>
        <v>0</v>
      </c>
      <c r="AS23" s="82">
        <f ca="1">(MAX(MIN(SUM($C$14:AS14),((Model!$I$7-$BX$6)*Model!$E$32))-((Model!$I$7-$BX$6)*Model!$D$32),0)-MAX(MIN(SUM($C$14:AR14),((Model!$I$7-$BX$6)*Model!$E$32))-(Model!$I$7-$BX$6),0))*Model!$D$33</f>
        <v>0</v>
      </c>
      <c r="AT23" s="82">
        <f ca="1">(MAX(MIN(SUM($C$14:AT14),((Model!$I$7-$BX$6)*Model!$E$32))-((Model!$I$7-$BX$6)*Model!$D$32),0)-MAX(MIN(SUM($C$14:AS14),((Model!$I$7-$BX$6)*Model!$E$32))-(Model!$I$7-$BX$6),0))*Model!$D$33</f>
        <v>0</v>
      </c>
      <c r="AU23" s="82">
        <f ca="1">(MAX(MIN(SUM($C$14:AU14),((Model!$I$7-$BX$6)*Model!$E$32))-((Model!$I$7-$BX$6)*Model!$D$32),0)-MAX(MIN(SUM($C$14:AT14),((Model!$I$7-$BX$6)*Model!$E$32))-(Model!$I$7-$BX$6),0))*Model!$D$33</f>
        <v>0</v>
      </c>
      <c r="AV23" s="82">
        <f ca="1">(MAX(MIN(SUM($C$14:AV14),((Model!$I$7-$BX$6)*Model!$E$32))-((Model!$I$7-$BX$6)*Model!$D$32),0)-MAX(MIN(SUM($C$14:AU14),((Model!$I$7-$BX$6)*Model!$E$32))-(Model!$I$7-$BX$6),0))*Model!$D$33</f>
        <v>0</v>
      </c>
      <c r="AW23" s="82">
        <f ca="1">(MAX(MIN(SUM($C$14:AW14),((Model!$I$7-$BX$6)*Model!$E$32))-((Model!$I$7-$BX$6)*Model!$D$32),0)-MAX(MIN(SUM($C$14:AV14),((Model!$I$7-$BX$6)*Model!$E$32))-(Model!$I$7-$BX$6),0))*Model!$D$33</f>
        <v>0</v>
      </c>
      <c r="AX23" s="82">
        <f ca="1">(MAX(MIN(SUM($C$14:AX14),((Model!$I$7-$BX$6)*Model!$E$32))-((Model!$I$7-$BX$6)*Model!$D$32),0)-MAX(MIN(SUM($C$14:AW14),((Model!$I$7-$BX$6)*Model!$E$32))-(Model!$I$7-$BX$6),0))*Model!$D$33</f>
        <v>0</v>
      </c>
      <c r="AY23" s="82">
        <f ca="1">(MAX(MIN(SUM($C$14:AY14),((Model!$I$7-$BX$6)*Model!$E$32))-((Model!$I$7-$BX$6)*Model!$D$32),0)-MAX(MIN(SUM($C$14:AX14),((Model!$I$7-$BX$6)*Model!$E$32))-(Model!$I$7-$BX$6),0))*Model!$D$33</f>
        <v>0</v>
      </c>
      <c r="AZ23" s="82">
        <f ca="1">(MAX(MIN(SUM($C$14:AZ14),((Model!$I$7-$BX$6)*Model!$E$32))-((Model!$I$7-$BX$6)*Model!$D$32),0)-MAX(MIN(SUM($C$14:AY14),((Model!$I$7-$BX$6)*Model!$E$32))-(Model!$I$7-$BX$6),0))*Model!$D$33</f>
        <v>0</v>
      </c>
      <c r="BA23" s="82">
        <f ca="1">(MAX(MIN(SUM($C$14:BA14),((Model!$I$7-$BX$6)*Model!$E$32))-((Model!$I$7-$BX$6)*Model!$D$32),0)-MAX(MIN(SUM($C$14:AZ14),((Model!$I$7-$BX$6)*Model!$E$32))-(Model!$I$7-$BX$6),0))*Model!$D$33</f>
        <v>0</v>
      </c>
      <c r="BB23" s="82">
        <f ca="1">(MAX(MIN(SUM($C$14:BB14),((Model!$I$7-$BX$6)*Model!$E$32))-((Model!$I$7-$BX$6)*Model!$D$32),0)-MAX(MIN(SUM($C$14:BA14),((Model!$I$7-$BX$6)*Model!$E$32))-(Model!$I$7-$BX$6),0))*Model!$D$33</f>
        <v>0</v>
      </c>
      <c r="BC23" s="82">
        <f ca="1">(MAX(MIN(SUM($C$14:BC14),((Model!$I$7-$BX$6)*Model!$E$32))-((Model!$I$7-$BX$6)*Model!$D$32),0)-MAX(MIN(SUM($C$14:BB14),((Model!$I$7-$BX$6)*Model!$E$32))-(Model!$I$7-$BX$6),0))*Model!$D$33</f>
        <v>0</v>
      </c>
      <c r="BD23" s="82">
        <f ca="1">(MAX(MIN(SUM($C$14:BD14),((Model!$I$7-$BX$6)*Model!$E$32))-((Model!$I$7-$BX$6)*Model!$D$32),0)-MAX(MIN(SUM($C$14:BC14),((Model!$I$7-$BX$6)*Model!$E$32))-(Model!$I$7-$BX$6),0))*Model!$D$33</f>
        <v>0</v>
      </c>
      <c r="BE23" s="82">
        <f ca="1">(MAX(MIN(SUM($C$14:BE14),((Model!$I$7-$BX$6)*Model!$E$32))-((Model!$I$7-$BX$6)*Model!$D$32),0)-MAX(MIN(SUM($C$14:BD14),((Model!$I$7-$BX$6)*Model!$E$32))-(Model!$I$7-$BX$6),0))*Model!$D$33</f>
        <v>0</v>
      </c>
      <c r="BF23" s="82">
        <f ca="1">(MAX(MIN(SUM($C$14:BF14),((Model!$I$7-$BX$6)*Model!$E$32))-((Model!$I$7-$BX$6)*Model!$D$32),0)-MAX(MIN(SUM($C$14:BE14),((Model!$I$7-$BX$6)*Model!$E$32))-(Model!$I$7-$BX$6),0))*Model!$D$33</f>
        <v>0</v>
      </c>
      <c r="BG23" s="82">
        <f ca="1">(MAX(MIN(SUM($C$14:BG14),((Model!$I$7-$BX$6)*Model!$E$32))-((Model!$I$7-$BX$6)*Model!$D$32),0)-MAX(MIN(SUM($C$14:BF14),((Model!$I$7-$BX$6)*Model!$E$32))-(Model!$I$7-$BX$6),0))*Model!$D$33</f>
        <v>0</v>
      </c>
      <c r="BH23" s="82">
        <f ca="1">(MAX(MIN(SUM($C$14:BH14),((Model!$I$7-$BX$6)*Model!$E$32))-((Model!$I$7-$BX$6)*Model!$D$32),0)-MAX(MIN(SUM($C$14:BG14),((Model!$I$7-$BX$6)*Model!$E$32))-(Model!$I$7-$BX$6),0))*Model!$D$33</f>
        <v>0</v>
      </c>
      <c r="BI23" s="82">
        <f ca="1">(MAX(MIN(SUM($C$14:BI14),((Model!$I$7-$BX$6)*Model!$E$32))-((Model!$I$7-$BX$6)*Model!$D$32),0)-MAX(MIN(SUM($C$14:BH14),((Model!$I$7-$BX$6)*Model!$E$32))-(Model!$I$7-$BX$6),0))*Model!$D$33</f>
        <v>0</v>
      </c>
      <c r="BJ23" s="82">
        <f ca="1">(MAX(MIN(SUM($C$14:BJ14),((Model!$I$7-$BX$6)*Model!$E$32))-((Model!$I$7-$BX$6)*Model!$D$32),0)-MAX(MIN(SUM($C$14:BI14),((Model!$I$7-$BX$6)*Model!$E$32))-(Model!$I$7-$BX$6),0))*Model!$D$33</f>
        <v>0</v>
      </c>
      <c r="BK23" s="82">
        <f ca="1">(MAX(MIN(SUM($C$14:BK14),((Model!$I$7-$BX$6)*Model!$E$32))-((Model!$I$7-$BX$6)*Model!$D$32),0)-MAX(MIN(SUM($C$14:BJ14),((Model!$I$7-$BX$6)*Model!$E$32))-(Model!$I$7-$BX$6),0))*Model!$D$33</f>
        <v>0</v>
      </c>
      <c r="BL23" s="82">
        <f ca="1">(MAX(MIN(SUM($C$14:BL14),((Model!$I$7-$BX$6)*Model!$E$32))-((Model!$I$7-$BX$6)*Model!$D$32),0)-MAX(MIN(SUM($C$14:BK14),((Model!$I$7-$BX$6)*Model!$E$32))-(Model!$I$7-$BX$6),0))*Model!$D$33</f>
        <v>0</v>
      </c>
      <c r="BM23" s="82">
        <f ca="1">(MAX(MIN(SUM($C$14:BM14),((Model!$I$7-$BX$6)*Model!$E$32))-((Model!$I$7-$BX$6)*Model!$D$32),0)-MAX(MIN(SUM($C$14:BL14),((Model!$I$7-$BX$6)*Model!$E$32))-(Model!$I$7-$BX$6),0))*Model!$D$33</f>
        <v>0</v>
      </c>
      <c r="BN23" s="82">
        <f ca="1">(MAX(MIN(SUM($C$14:BN14),((Model!$I$7-$BX$6)*Model!$E$32))-((Model!$I$7-$BX$6)*Model!$D$32),0)-MAX(MIN(SUM($C$14:BM14),((Model!$I$7-$BX$6)*Model!$E$32))-(Model!$I$7-$BX$6),0))*Model!$D$33</f>
        <v>0</v>
      </c>
      <c r="BO23" s="82">
        <f ca="1">(MAX(MIN(SUM($C$14:BO14),((Model!$I$7-$BX$6)*Model!$E$32))-((Model!$I$7-$BX$6)*Model!$D$32),0)-MAX(MIN(SUM($C$14:BN14),((Model!$I$7-$BX$6)*Model!$E$32))-(Model!$I$7-$BX$6),0))*Model!$D$33</f>
        <v>0</v>
      </c>
      <c r="BP23" s="82">
        <f ca="1">(MAX(MIN(SUM($C$14:BP14),((Model!$I$7-$BX$6)*Model!$E$32))-((Model!$I$7-$BX$6)*Model!$D$32),0)-MAX(MIN(SUM($C$14:BO14),((Model!$I$7-$BX$6)*Model!$E$32))-(Model!$I$7-$BX$6),0))*Model!$D$33</f>
        <v>0</v>
      </c>
      <c r="BQ23" s="82">
        <f ca="1">(MAX(MIN(SUM($C$14:BQ14),((Model!$I$7-$BX$6)*Model!$E$32))-((Model!$I$7-$BX$6)*Model!$D$32),0)-MAX(MIN(SUM($C$14:BP14),((Model!$I$7-$BX$6)*Model!$E$32))-(Model!$I$7-$BX$6),0))*Model!$D$33</f>
        <v>0</v>
      </c>
      <c r="BR23" s="82">
        <f ca="1">(MAX(MIN(SUM($C$14:BR14),((Model!$I$7-$BX$6)*Model!$E$32))-((Model!$I$7-$BX$6)*Model!$D$32),0)-MAX(MIN(SUM($C$14:BQ14),((Model!$I$7-$BX$6)*Model!$E$32))-(Model!$I$7-$BX$6),0))*Model!$D$33</f>
        <v>0</v>
      </c>
      <c r="BS23" s="82">
        <f ca="1">(MAX(MIN(SUM($C$14:BS14),((Model!$I$7-$BX$6)*Model!$E$32))-((Model!$I$7-$BX$6)*Model!$D$32),0)-MAX(MIN(SUM($C$14:BR14),((Model!$I$7-$BX$6)*Model!$E$32))-(Model!$I$7-$BX$6),0))*Model!$D$33</f>
        <v>0</v>
      </c>
      <c r="BT23" s="82">
        <f ca="1">(MAX(MIN(SUM($C$14:BT14),((Model!$I$7-$BX$6)*Model!$E$32))-((Model!$I$7-$BX$6)*Model!$D$32),0)-MAX(MIN(SUM($C$14:BS14),((Model!$I$7-$BX$6)*Model!$E$32))-(Model!$I$7-$BX$6),0))*Model!$D$33</f>
        <v>0</v>
      </c>
      <c r="BU23" s="82">
        <f ca="1">(MAX(MIN(SUM($C$14:BU14),((Model!$I$7-$BX$6)*Model!$E$32))-((Model!$I$7-$BX$6)*Model!$D$32),0)-MAX(MIN(SUM($C$14:BT14),((Model!$I$7-$BX$6)*Model!$E$32))-(Model!$I$7-$BX$6),0))*Model!$D$33</f>
        <v>0</v>
      </c>
      <c r="BV23" s="82">
        <f ca="1">(MAX(MIN(SUM($C$14:BV14),((Model!$I$7-$BX$6)*Model!$E$32))-((Model!$I$7-$BX$6)*Model!$D$32),0)-MAX(MIN(SUM($C$14:BU14),((Model!$I$7-$BX$6)*Model!$E$32))-(Model!$I$7-$BX$6),0))*Model!$D$33</f>
        <v>0</v>
      </c>
      <c r="BW23" s="82">
        <f ca="1">(MAX(MIN(SUM($C$14:BW14),((Model!$I$7-$BX$6)*Model!$E$32))-((Model!$I$7-$BX$6)*Model!$D$32),0)-MAX(MIN(SUM($C$14:BV14),((Model!$I$7-$BX$6)*Model!$E$32))-(Model!$I$7-$BX$6),0))*Model!$D$33</f>
        <v>0</v>
      </c>
      <c r="BX23" s="155">
        <f ca="1">SUM(C23:BW23)</f>
        <v>0</v>
      </c>
    </row>
    <row r="24" spans="1:76" x14ac:dyDescent="0.25">
      <c r="B24" s="81" t="str">
        <f>TEXT(Model!E34,"0%")&amp;" GP Catch-Up"</f>
        <v>50% GP Catch-Up</v>
      </c>
      <c r="C24" s="82">
        <v>0</v>
      </c>
      <c r="D24" s="82">
        <f ca="1">(MAX(MIN(SUM($C$14:D14),((((Model!$I$7-$BX$6)*(Model!$E$33-Model!$D$33))+(((Model!$I$7-$BX$6)*Model!$E$32)*(Model!$D$33-Model!$E$34)))/(Model!$E$33-Model!$E$34)))-((Model!$I$7-$BX$6)*Model!$E$32),0)-MAX(MIN(SUM($C$14:C14),((((Model!$I$7-$BX$6)*(Model!$E$33-Model!$D$33))+(((Model!$I$7-$BX$6)*Model!$E$32)*(Model!$D$33-Model!$E$34)))/(Model!$E$33-Model!$E$34)))-((Model!$I$7-$BX$6)*Model!$E$32),0))*Model!$E$34</f>
        <v>0</v>
      </c>
      <c r="E24" s="82">
        <f ca="1">(MAX(MIN(SUM($C$14:E14),((((Model!$I$7-$BX$6)*(Model!$E$33-Model!$D$33))+(((Model!$I$7-$BX$6)*Model!$E$32)*(Model!$D$33-Model!$E$34)))/(Model!$E$33-Model!$E$34)))-((Model!$I$7-$BX$6)*Model!$E$32),0)-MAX(MIN(SUM($C$14:D14),((((Model!$I$7-$BX$6)*(Model!$E$33-Model!$D$33))+(((Model!$I$7-$BX$6)*Model!$E$32)*(Model!$D$33-Model!$E$34)))/(Model!$E$33-Model!$E$34)))-((Model!$I$7-$BX$6)*Model!$E$32),0))*Model!$E$34</f>
        <v>0</v>
      </c>
      <c r="F24" s="82">
        <f ca="1">(MAX(MIN(SUM($C$14:F14),((((Model!$I$7-$BX$6)*(Model!$E$33-Model!$D$33))+(((Model!$I$7-$BX$6)*Model!$E$32)*(Model!$D$33-Model!$E$34)))/(Model!$E$33-Model!$E$34)))-((Model!$I$7-$BX$6)*Model!$E$32),0)-MAX(MIN(SUM($C$14:E14),((((Model!$I$7-$BX$6)*(Model!$E$33-Model!$D$33))+(((Model!$I$7-$BX$6)*Model!$E$32)*(Model!$D$33-Model!$E$34)))/(Model!$E$33-Model!$E$34)))-((Model!$I$7-$BX$6)*Model!$E$32),0))*Model!$E$34</f>
        <v>0</v>
      </c>
      <c r="G24" s="82">
        <f ca="1">(MAX(MIN(SUM($C$14:G14),((((Model!$I$7-$BX$6)*(Model!$E$33-Model!$D$33))+(((Model!$I$7-$BX$6)*Model!$E$32)*(Model!$D$33-Model!$E$34)))/(Model!$E$33-Model!$E$34)))-((Model!$I$7-$BX$6)*Model!$E$32),0)-MAX(MIN(SUM($C$14:F14),((((Model!$I$7-$BX$6)*(Model!$E$33-Model!$D$33))+(((Model!$I$7-$BX$6)*Model!$E$32)*(Model!$D$33-Model!$E$34)))/(Model!$E$33-Model!$E$34)))-((Model!$I$7-$BX$6)*Model!$E$32),0))*Model!$E$34</f>
        <v>0</v>
      </c>
      <c r="H24" s="82">
        <f ca="1">(MAX(MIN(SUM($C$14:H14),((((Model!$I$7-$BX$6)*(Model!$E$33-Model!$D$33))+(((Model!$I$7-$BX$6)*Model!$E$32)*(Model!$D$33-Model!$E$34)))/(Model!$E$33-Model!$E$34)))-((Model!$I$7-$BX$6)*Model!$E$32),0)-MAX(MIN(SUM($C$14:G14),((((Model!$I$7-$BX$6)*(Model!$E$33-Model!$D$33))+(((Model!$I$7-$BX$6)*Model!$E$32)*(Model!$D$33-Model!$E$34)))/(Model!$E$33-Model!$E$34)))-((Model!$I$7-$BX$6)*Model!$E$32),0))*Model!$E$34</f>
        <v>0</v>
      </c>
      <c r="I24" s="82">
        <f ca="1">(MAX(MIN(SUM($C$14:I14),((((Model!$I$7-$BX$6)*(Model!$E$33-Model!$D$33))+(((Model!$I$7-$BX$6)*Model!$E$32)*(Model!$D$33-Model!$E$34)))/(Model!$E$33-Model!$E$34)))-((Model!$I$7-$BX$6)*Model!$E$32),0)-MAX(MIN(SUM($C$14:H14),((((Model!$I$7-$BX$6)*(Model!$E$33-Model!$D$33))+(((Model!$I$7-$BX$6)*Model!$E$32)*(Model!$D$33-Model!$E$34)))/(Model!$E$33-Model!$E$34)))-((Model!$I$7-$BX$6)*Model!$E$32),0))*Model!$E$34</f>
        <v>0</v>
      </c>
      <c r="J24" s="82">
        <f ca="1">(MAX(MIN(SUM($C$14:J14),((((Model!$I$7-$BX$6)*(Model!$E$33-Model!$D$33))+(((Model!$I$7-$BX$6)*Model!$E$32)*(Model!$D$33-Model!$E$34)))/(Model!$E$33-Model!$E$34)))-((Model!$I$7-$BX$6)*Model!$E$32),0)-MAX(MIN(SUM($C$14:I14),((((Model!$I$7-$BX$6)*(Model!$E$33-Model!$D$33))+(((Model!$I$7-$BX$6)*Model!$E$32)*(Model!$D$33-Model!$E$34)))/(Model!$E$33-Model!$E$34)))-((Model!$I$7-$BX$6)*Model!$E$32),0))*Model!$E$34</f>
        <v>0</v>
      </c>
      <c r="K24" s="82">
        <f ca="1">(MAX(MIN(SUM($C$14:K14),((((Model!$I$7-$BX$6)*(Model!$E$33-Model!$D$33))+(((Model!$I$7-$BX$6)*Model!$E$32)*(Model!$D$33-Model!$E$34)))/(Model!$E$33-Model!$E$34)))-((Model!$I$7-$BX$6)*Model!$E$32),0)-MAX(MIN(SUM($C$14:J14),((((Model!$I$7-$BX$6)*(Model!$E$33-Model!$D$33))+(((Model!$I$7-$BX$6)*Model!$E$32)*(Model!$D$33-Model!$E$34)))/(Model!$E$33-Model!$E$34)))-((Model!$I$7-$BX$6)*Model!$E$32),0))*Model!$E$34</f>
        <v>0</v>
      </c>
      <c r="L24" s="82">
        <f ca="1">(MAX(MIN(SUM($C$14:L14),((((Model!$I$7-$BX$6)*(Model!$E$33-Model!$D$33))+(((Model!$I$7-$BX$6)*Model!$E$32)*(Model!$D$33-Model!$E$34)))/(Model!$E$33-Model!$E$34)))-((Model!$I$7-$BX$6)*Model!$E$32),0)-MAX(MIN(SUM($C$14:K14),((((Model!$I$7-$BX$6)*(Model!$E$33-Model!$D$33))+(((Model!$I$7-$BX$6)*Model!$E$32)*(Model!$D$33-Model!$E$34)))/(Model!$E$33-Model!$E$34)))-((Model!$I$7-$BX$6)*Model!$E$32),0))*Model!$E$34</f>
        <v>0</v>
      </c>
      <c r="M24" s="82">
        <f ca="1">(MAX(MIN(SUM($C$14:M14),((((Model!$I$7-$BX$6)*(Model!$E$33-Model!$D$33))+(((Model!$I$7-$BX$6)*Model!$E$32)*(Model!$D$33-Model!$E$34)))/(Model!$E$33-Model!$E$34)))-((Model!$I$7-$BX$6)*Model!$E$32),0)-MAX(MIN(SUM($C$14:L14),((((Model!$I$7-$BX$6)*(Model!$E$33-Model!$D$33))+(((Model!$I$7-$BX$6)*Model!$E$32)*(Model!$D$33-Model!$E$34)))/(Model!$E$33-Model!$E$34)))-((Model!$I$7-$BX$6)*Model!$E$32),0))*Model!$E$34</f>
        <v>0</v>
      </c>
      <c r="N24" s="82">
        <f ca="1">(MAX(MIN(SUM($C$14:N14),((((Model!$I$7-$BX$6)*(Model!$E$33-Model!$D$33))+(((Model!$I$7-$BX$6)*Model!$E$32)*(Model!$D$33-Model!$E$34)))/(Model!$E$33-Model!$E$34)))-((Model!$I$7-$BX$6)*Model!$E$32),0)-MAX(MIN(SUM($C$14:M14),((((Model!$I$7-$BX$6)*(Model!$E$33-Model!$D$33))+(((Model!$I$7-$BX$6)*Model!$E$32)*(Model!$D$33-Model!$E$34)))/(Model!$E$33-Model!$E$34)))-((Model!$I$7-$BX$6)*Model!$E$32),0))*Model!$E$34</f>
        <v>0</v>
      </c>
      <c r="O24" s="82">
        <f ca="1">(MAX(MIN(SUM($C$14:O14),((((Model!$I$7-$BX$6)*(Model!$E$33-Model!$D$33))+(((Model!$I$7-$BX$6)*Model!$E$32)*(Model!$D$33-Model!$E$34)))/(Model!$E$33-Model!$E$34)))-((Model!$I$7-$BX$6)*Model!$E$32),0)-MAX(MIN(SUM($C$14:N14),((((Model!$I$7-$BX$6)*(Model!$E$33-Model!$D$33))+(((Model!$I$7-$BX$6)*Model!$E$32)*(Model!$D$33-Model!$E$34)))/(Model!$E$33-Model!$E$34)))-((Model!$I$7-$BX$6)*Model!$E$32),0))*Model!$E$34</f>
        <v>0</v>
      </c>
      <c r="P24" s="82">
        <f ca="1">(MAX(MIN(SUM($C$14:P14),((((Model!$I$7-$BX$6)*(Model!$E$33-Model!$D$33))+(((Model!$I$7-$BX$6)*Model!$E$32)*(Model!$D$33-Model!$E$34)))/(Model!$E$33-Model!$E$34)))-((Model!$I$7-$BX$6)*Model!$E$32),0)-MAX(MIN(SUM($C$14:O14),((((Model!$I$7-$BX$6)*(Model!$E$33-Model!$D$33))+(((Model!$I$7-$BX$6)*Model!$E$32)*(Model!$D$33-Model!$E$34)))/(Model!$E$33-Model!$E$34)))-((Model!$I$7-$BX$6)*Model!$E$32),0))*Model!$E$34</f>
        <v>0</v>
      </c>
      <c r="Q24" s="82">
        <f ca="1">(MAX(MIN(SUM($C$14:Q14),((((Model!$I$7-$BX$6)*(Model!$E$33-Model!$D$33))+(((Model!$I$7-$BX$6)*Model!$E$32)*(Model!$D$33-Model!$E$34)))/(Model!$E$33-Model!$E$34)))-((Model!$I$7-$BX$6)*Model!$E$32),0)-MAX(MIN(SUM($C$14:P14),((((Model!$I$7-$BX$6)*(Model!$E$33-Model!$D$33))+(((Model!$I$7-$BX$6)*Model!$E$32)*(Model!$D$33-Model!$E$34)))/(Model!$E$33-Model!$E$34)))-((Model!$I$7-$BX$6)*Model!$E$32),0))*Model!$E$34</f>
        <v>0</v>
      </c>
      <c r="R24" s="82">
        <f ca="1">(MAX(MIN(SUM($C$14:R14),((((Model!$I$7-$BX$6)*(Model!$E$33-Model!$D$33))+(((Model!$I$7-$BX$6)*Model!$E$32)*(Model!$D$33-Model!$E$34)))/(Model!$E$33-Model!$E$34)))-((Model!$I$7-$BX$6)*Model!$E$32),0)-MAX(MIN(SUM($C$14:Q14),((((Model!$I$7-$BX$6)*(Model!$E$33-Model!$D$33))+(((Model!$I$7-$BX$6)*Model!$E$32)*(Model!$D$33-Model!$E$34)))/(Model!$E$33-Model!$E$34)))-((Model!$I$7-$BX$6)*Model!$E$32),0))*Model!$E$34</f>
        <v>0</v>
      </c>
      <c r="S24" s="82">
        <f ca="1">(MAX(MIN(SUM($C$14:S14),((((Model!$I$7-$BX$6)*(Model!$E$33-Model!$D$33))+(((Model!$I$7-$BX$6)*Model!$E$32)*(Model!$D$33-Model!$E$34)))/(Model!$E$33-Model!$E$34)))-((Model!$I$7-$BX$6)*Model!$E$32),0)-MAX(MIN(SUM($C$14:R14),((((Model!$I$7-$BX$6)*(Model!$E$33-Model!$D$33))+(((Model!$I$7-$BX$6)*Model!$E$32)*(Model!$D$33-Model!$E$34)))/(Model!$E$33-Model!$E$34)))-((Model!$I$7-$BX$6)*Model!$E$32),0))*Model!$E$34</f>
        <v>0</v>
      </c>
      <c r="T24" s="82">
        <f ca="1">(MAX(MIN(SUM($C$14:T14),((((Model!$I$7-$BX$6)*(Model!$E$33-Model!$D$33))+(((Model!$I$7-$BX$6)*Model!$E$32)*(Model!$D$33-Model!$E$34)))/(Model!$E$33-Model!$E$34)))-((Model!$I$7-$BX$6)*Model!$E$32),0)-MAX(MIN(SUM($C$14:S14),((((Model!$I$7-$BX$6)*(Model!$E$33-Model!$D$33))+(((Model!$I$7-$BX$6)*Model!$E$32)*(Model!$D$33-Model!$E$34)))/(Model!$E$33-Model!$E$34)))-((Model!$I$7-$BX$6)*Model!$E$32),0))*Model!$E$34</f>
        <v>0</v>
      </c>
      <c r="U24" s="82">
        <f ca="1">(MAX(MIN(SUM($C$14:U14),((((Model!$I$7-$BX$6)*(Model!$E$33-Model!$D$33))+(((Model!$I$7-$BX$6)*Model!$E$32)*(Model!$D$33-Model!$E$34)))/(Model!$E$33-Model!$E$34)))-((Model!$I$7-$BX$6)*Model!$E$32),0)-MAX(MIN(SUM($C$14:T14),((((Model!$I$7-$BX$6)*(Model!$E$33-Model!$D$33))+(((Model!$I$7-$BX$6)*Model!$E$32)*(Model!$D$33-Model!$E$34)))/(Model!$E$33-Model!$E$34)))-((Model!$I$7-$BX$6)*Model!$E$32),0))*Model!$E$34</f>
        <v>0</v>
      </c>
      <c r="V24" s="82">
        <f ca="1">(MAX(MIN(SUM($C$14:V14),((((Model!$I$7-$BX$6)*(Model!$E$33-Model!$D$33))+(((Model!$I$7-$BX$6)*Model!$E$32)*(Model!$D$33-Model!$E$34)))/(Model!$E$33-Model!$E$34)))-((Model!$I$7-$BX$6)*Model!$E$32),0)-MAX(MIN(SUM($C$14:U14),((((Model!$I$7-$BX$6)*(Model!$E$33-Model!$D$33))+(((Model!$I$7-$BX$6)*Model!$E$32)*(Model!$D$33-Model!$E$34)))/(Model!$E$33-Model!$E$34)))-((Model!$I$7-$BX$6)*Model!$E$32),0))*Model!$E$34</f>
        <v>0</v>
      </c>
      <c r="W24" s="82">
        <f ca="1">(MAX(MIN(SUM($C$14:W14),((((Model!$I$7-$BX$6)*(Model!$E$33-Model!$D$33))+(((Model!$I$7-$BX$6)*Model!$E$32)*(Model!$D$33-Model!$E$34)))/(Model!$E$33-Model!$E$34)))-((Model!$I$7-$BX$6)*Model!$E$32),0)-MAX(MIN(SUM($C$14:V14),((((Model!$I$7-$BX$6)*(Model!$E$33-Model!$D$33))+(((Model!$I$7-$BX$6)*Model!$E$32)*(Model!$D$33-Model!$E$34)))/(Model!$E$33-Model!$E$34)))-((Model!$I$7-$BX$6)*Model!$E$32),0))*Model!$E$34</f>
        <v>0</v>
      </c>
      <c r="X24" s="82">
        <f ca="1">(MAX(MIN(SUM($C$14:X14),((((Model!$I$7-$BX$6)*(Model!$E$33-Model!$D$33))+(((Model!$I$7-$BX$6)*Model!$E$32)*(Model!$D$33-Model!$E$34)))/(Model!$E$33-Model!$E$34)))-((Model!$I$7-$BX$6)*Model!$E$32),0)-MAX(MIN(SUM($C$14:W14),((((Model!$I$7-$BX$6)*(Model!$E$33-Model!$D$33))+(((Model!$I$7-$BX$6)*Model!$E$32)*(Model!$D$33-Model!$E$34)))/(Model!$E$33-Model!$E$34)))-((Model!$I$7-$BX$6)*Model!$E$32),0))*Model!$E$34</f>
        <v>0</v>
      </c>
      <c r="Y24" s="82">
        <f ca="1">(MAX(MIN(SUM($C$14:Y14),((((Model!$I$7-$BX$6)*(Model!$E$33-Model!$D$33))+(((Model!$I$7-$BX$6)*Model!$E$32)*(Model!$D$33-Model!$E$34)))/(Model!$E$33-Model!$E$34)))-((Model!$I$7-$BX$6)*Model!$E$32),0)-MAX(MIN(SUM($C$14:X14),((((Model!$I$7-$BX$6)*(Model!$E$33-Model!$D$33))+(((Model!$I$7-$BX$6)*Model!$E$32)*(Model!$D$33-Model!$E$34)))/(Model!$E$33-Model!$E$34)))-((Model!$I$7-$BX$6)*Model!$E$32),0))*Model!$E$34</f>
        <v>0</v>
      </c>
      <c r="Z24" s="82">
        <f ca="1">(MAX(MIN(SUM($C$14:Z14),((((Model!$I$7-$BX$6)*(Model!$E$33-Model!$D$33))+(((Model!$I$7-$BX$6)*Model!$E$32)*(Model!$D$33-Model!$E$34)))/(Model!$E$33-Model!$E$34)))-((Model!$I$7-$BX$6)*Model!$E$32),0)-MAX(MIN(SUM($C$14:Y14),((((Model!$I$7-$BX$6)*(Model!$E$33-Model!$D$33))+(((Model!$I$7-$BX$6)*Model!$E$32)*(Model!$D$33-Model!$E$34)))/(Model!$E$33-Model!$E$34)))-((Model!$I$7-$BX$6)*Model!$E$32),0))*Model!$E$34</f>
        <v>0</v>
      </c>
      <c r="AA24" s="82">
        <f ca="1">(MAX(MIN(SUM($C$14:AA14),((((Model!$I$7-$BX$6)*(Model!$E$33-Model!$D$33))+(((Model!$I$7-$BX$6)*Model!$E$32)*(Model!$D$33-Model!$E$34)))/(Model!$E$33-Model!$E$34)))-((Model!$I$7-$BX$6)*Model!$E$32),0)-MAX(MIN(SUM($C$14:Z14),((((Model!$I$7-$BX$6)*(Model!$E$33-Model!$D$33))+(((Model!$I$7-$BX$6)*Model!$E$32)*(Model!$D$33-Model!$E$34)))/(Model!$E$33-Model!$E$34)))-((Model!$I$7-$BX$6)*Model!$E$32),0))*Model!$E$34</f>
        <v>0</v>
      </c>
      <c r="AB24" s="82">
        <f ca="1">(MAX(MIN(SUM($C$14:AB14),((((Model!$I$7-$BX$6)*(Model!$E$33-Model!$D$33))+(((Model!$I$7-$BX$6)*Model!$E$32)*(Model!$D$33-Model!$E$34)))/(Model!$E$33-Model!$E$34)))-((Model!$I$7-$BX$6)*Model!$E$32),0)-MAX(MIN(SUM($C$14:AA14),((((Model!$I$7-$BX$6)*(Model!$E$33-Model!$D$33))+(((Model!$I$7-$BX$6)*Model!$E$32)*(Model!$D$33-Model!$E$34)))/(Model!$E$33-Model!$E$34)))-((Model!$I$7-$BX$6)*Model!$E$32),0))*Model!$E$34</f>
        <v>0</v>
      </c>
      <c r="AC24" s="82">
        <f ca="1">(MAX(MIN(SUM($C$14:AC14),((((Model!$I$7-$BX$6)*(Model!$E$33-Model!$D$33))+(((Model!$I$7-$BX$6)*Model!$E$32)*(Model!$D$33-Model!$E$34)))/(Model!$E$33-Model!$E$34)))-((Model!$I$7-$BX$6)*Model!$E$32),0)-MAX(MIN(SUM($C$14:AB14),((((Model!$I$7-$BX$6)*(Model!$E$33-Model!$D$33))+(((Model!$I$7-$BX$6)*Model!$E$32)*(Model!$D$33-Model!$E$34)))/(Model!$E$33-Model!$E$34)))-((Model!$I$7-$BX$6)*Model!$E$32),0))*Model!$E$34</f>
        <v>0</v>
      </c>
      <c r="AD24" s="82">
        <f ca="1">(MAX(MIN(SUM($C$14:AD14),((((Model!$I$7-$BX$6)*(Model!$E$33-Model!$D$33))+(((Model!$I$7-$BX$6)*Model!$E$32)*(Model!$D$33-Model!$E$34)))/(Model!$E$33-Model!$E$34)))-((Model!$I$7-$BX$6)*Model!$E$32),0)-MAX(MIN(SUM($C$14:AC14),((((Model!$I$7-$BX$6)*(Model!$E$33-Model!$D$33))+(((Model!$I$7-$BX$6)*Model!$E$32)*(Model!$D$33-Model!$E$34)))/(Model!$E$33-Model!$E$34)))-((Model!$I$7-$BX$6)*Model!$E$32),0))*Model!$E$34</f>
        <v>0</v>
      </c>
      <c r="AE24" s="82">
        <f ca="1">(MAX(MIN(SUM($C$14:AE14),((((Model!$I$7-$BX$6)*(Model!$E$33-Model!$D$33))+(((Model!$I$7-$BX$6)*Model!$E$32)*(Model!$D$33-Model!$E$34)))/(Model!$E$33-Model!$E$34)))-((Model!$I$7-$BX$6)*Model!$E$32),0)-MAX(MIN(SUM($C$14:AD14),((((Model!$I$7-$BX$6)*(Model!$E$33-Model!$D$33))+(((Model!$I$7-$BX$6)*Model!$E$32)*(Model!$D$33-Model!$E$34)))/(Model!$E$33-Model!$E$34)))-((Model!$I$7-$BX$6)*Model!$E$32),0))*Model!$E$34</f>
        <v>0</v>
      </c>
      <c r="AF24" s="82">
        <f ca="1">(MAX(MIN(SUM($C$14:AF14),((((Model!$I$7-$BX$6)*(Model!$E$33-Model!$D$33))+(((Model!$I$7-$BX$6)*Model!$E$32)*(Model!$D$33-Model!$E$34)))/(Model!$E$33-Model!$E$34)))-((Model!$I$7-$BX$6)*Model!$E$32),0)-MAX(MIN(SUM($C$14:AE14),((((Model!$I$7-$BX$6)*(Model!$E$33-Model!$D$33))+(((Model!$I$7-$BX$6)*Model!$E$32)*(Model!$D$33-Model!$E$34)))/(Model!$E$33-Model!$E$34)))-((Model!$I$7-$BX$6)*Model!$E$32),0))*Model!$E$34</f>
        <v>0</v>
      </c>
      <c r="AG24" s="82">
        <f ca="1">(MAX(MIN(SUM($C$14:AG14),((((Model!$I$7-$BX$6)*(Model!$E$33-Model!$D$33))+(((Model!$I$7-$BX$6)*Model!$E$32)*(Model!$D$33-Model!$E$34)))/(Model!$E$33-Model!$E$34)))-((Model!$I$7-$BX$6)*Model!$E$32),0)-MAX(MIN(SUM($C$14:AF14),((((Model!$I$7-$BX$6)*(Model!$E$33-Model!$D$33))+(((Model!$I$7-$BX$6)*Model!$E$32)*(Model!$D$33-Model!$E$34)))/(Model!$E$33-Model!$E$34)))-((Model!$I$7-$BX$6)*Model!$E$32),0))*Model!$E$34</f>
        <v>0</v>
      </c>
      <c r="AH24" s="82">
        <f ca="1">(MAX(MIN(SUM($C$14:AH14),((((Model!$I$7-$BX$6)*(Model!$E$33-Model!$D$33))+(((Model!$I$7-$BX$6)*Model!$E$32)*(Model!$D$33-Model!$E$34)))/(Model!$E$33-Model!$E$34)))-((Model!$I$7-$BX$6)*Model!$E$32),0)-MAX(MIN(SUM($C$14:AG14),((((Model!$I$7-$BX$6)*(Model!$E$33-Model!$D$33))+(((Model!$I$7-$BX$6)*Model!$E$32)*(Model!$D$33-Model!$E$34)))/(Model!$E$33-Model!$E$34)))-((Model!$I$7-$BX$6)*Model!$E$32),0))*Model!$E$34</f>
        <v>0</v>
      </c>
      <c r="AI24" s="82">
        <f ca="1">(MAX(MIN(SUM($C$14:AI14),((((Model!$I$7-$BX$6)*(Model!$E$33-Model!$D$33))+(((Model!$I$7-$BX$6)*Model!$E$32)*(Model!$D$33-Model!$E$34)))/(Model!$E$33-Model!$E$34)))-((Model!$I$7-$BX$6)*Model!$E$32),0)-MAX(MIN(SUM($C$14:AH14),((((Model!$I$7-$BX$6)*(Model!$E$33-Model!$D$33))+(((Model!$I$7-$BX$6)*Model!$E$32)*(Model!$D$33-Model!$E$34)))/(Model!$E$33-Model!$E$34)))-((Model!$I$7-$BX$6)*Model!$E$32),0))*Model!$E$34</f>
        <v>0</v>
      </c>
      <c r="AJ24" s="82">
        <f ca="1">(MAX(MIN(SUM($C$14:AJ14),((((Model!$I$7-$BX$6)*(Model!$E$33-Model!$D$33))+(((Model!$I$7-$BX$6)*Model!$E$32)*(Model!$D$33-Model!$E$34)))/(Model!$E$33-Model!$E$34)))-((Model!$I$7-$BX$6)*Model!$E$32),0)-MAX(MIN(SUM($C$14:AI14),((((Model!$I$7-$BX$6)*(Model!$E$33-Model!$D$33))+(((Model!$I$7-$BX$6)*Model!$E$32)*(Model!$D$33-Model!$E$34)))/(Model!$E$33-Model!$E$34)))-((Model!$I$7-$BX$6)*Model!$E$32),0))*Model!$E$34</f>
        <v>0</v>
      </c>
      <c r="AK24" s="82">
        <f ca="1">(MAX(MIN(SUM($C$14:AK14),((((Model!$I$7-$BX$6)*(Model!$E$33-Model!$D$33))+(((Model!$I$7-$BX$6)*Model!$E$32)*(Model!$D$33-Model!$E$34)))/(Model!$E$33-Model!$E$34)))-((Model!$I$7-$BX$6)*Model!$E$32),0)-MAX(MIN(SUM($C$14:AJ14),((((Model!$I$7-$BX$6)*(Model!$E$33-Model!$D$33))+(((Model!$I$7-$BX$6)*Model!$E$32)*(Model!$D$33-Model!$E$34)))/(Model!$E$33-Model!$E$34)))-((Model!$I$7-$BX$6)*Model!$E$32),0))*Model!$E$34</f>
        <v>0</v>
      </c>
      <c r="AL24" s="82">
        <f ca="1">(MAX(MIN(SUM($C$14:AL14),((((Model!$I$7-$BX$6)*(Model!$E$33-Model!$D$33))+(((Model!$I$7-$BX$6)*Model!$E$32)*(Model!$D$33-Model!$E$34)))/(Model!$E$33-Model!$E$34)))-((Model!$I$7-$BX$6)*Model!$E$32),0)-MAX(MIN(SUM($C$14:AK14),((((Model!$I$7-$BX$6)*(Model!$E$33-Model!$D$33))+(((Model!$I$7-$BX$6)*Model!$E$32)*(Model!$D$33-Model!$E$34)))/(Model!$E$33-Model!$E$34)))-((Model!$I$7-$BX$6)*Model!$E$32),0))*Model!$E$34</f>
        <v>0</v>
      </c>
      <c r="AM24" s="82">
        <f ca="1">(MAX(MIN(SUM($C$14:AM14),((((Model!$I$7-$BX$6)*(Model!$E$33-Model!$D$33))+(((Model!$I$7-$BX$6)*Model!$E$32)*(Model!$D$33-Model!$E$34)))/(Model!$E$33-Model!$E$34)))-((Model!$I$7-$BX$6)*Model!$E$32),0)-MAX(MIN(SUM($C$14:AL14),((((Model!$I$7-$BX$6)*(Model!$E$33-Model!$D$33))+(((Model!$I$7-$BX$6)*Model!$E$32)*(Model!$D$33-Model!$E$34)))/(Model!$E$33-Model!$E$34)))-((Model!$I$7-$BX$6)*Model!$E$32),0))*Model!$E$34</f>
        <v>0</v>
      </c>
      <c r="AN24" s="82">
        <f ca="1">(MAX(MIN(SUM($C$14:AN14),((((Model!$I$7-$BX$6)*(Model!$E$33-Model!$D$33))+(((Model!$I$7-$BX$6)*Model!$E$32)*(Model!$D$33-Model!$E$34)))/(Model!$E$33-Model!$E$34)))-((Model!$I$7-$BX$6)*Model!$E$32),0)-MAX(MIN(SUM($C$14:AM14),((((Model!$I$7-$BX$6)*(Model!$E$33-Model!$D$33))+(((Model!$I$7-$BX$6)*Model!$E$32)*(Model!$D$33-Model!$E$34)))/(Model!$E$33-Model!$E$34)))-((Model!$I$7-$BX$6)*Model!$E$32),0))*Model!$E$34</f>
        <v>0</v>
      </c>
      <c r="AO24" s="82">
        <f ca="1">(MAX(MIN(SUM($C$14:AO14),((((Model!$I$7-$BX$6)*(Model!$E$33-Model!$D$33))+(((Model!$I$7-$BX$6)*Model!$E$32)*(Model!$D$33-Model!$E$34)))/(Model!$E$33-Model!$E$34)))-((Model!$I$7-$BX$6)*Model!$E$32),0)-MAX(MIN(SUM($C$14:AN14),((((Model!$I$7-$BX$6)*(Model!$E$33-Model!$D$33))+(((Model!$I$7-$BX$6)*Model!$E$32)*(Model!$D$33-Model!$E$34)))/(Model!$E$33-Model!$E$34)))-((Model!$I$7-$BX$6)*Model!$E$32),0))*Model!$E$34</f>
        <v>0</v>
      </c>
      <c r="AP24" s="82">
        <f ca="1">(MAX(MIN(SUM($C$14:AP14),((((Model!$I$7-$BX$6)*(Model!$E$33-Model!$D$33))+(((Model!$I$7-$BX$6)*Model!$E$32)*(Model!$D$33-Model!$E$34)))/(Model!$E$33-Model!$E$34)))-((Model!$I$7-$BX$6)*Model!$E$32),0)-MAX(MIN(SUM($C$14:AO14),((((Model!$I$7-$BX$6)*(Model!$E$33-Model!$D$33))+(((Model!$I$7-$BX$6)*Model!$E$32)*(Model!$D$33-Model!$E$34)))/(Model!$E$33-Model!$E$34)))-((Model!$I$7-$BX$6)*Model!$E$32),0))*Model!$E$34</f>
        <v>0</v>
      </c>
      <c r="AQ24" s="82">
        <f ca="1">(MAX(MIN(SUM($C$14:AQ14),((((Model!$I$7-$BX$6)*(Model!$E$33-Model!$D$33))+(((Model!$I$7-$BX$6)*Model!$E$32)*(Model!$D$33-Model!$E$34)))/(Model!$E$33-Model!$E$34)))-((Model!$I$7-$BX$6)*Model!$E$32),0)-MAX(MIN(SUM($C$14:AP14),((((Model!$I$7-$BX$6)*(Model!$E$33-Model!$D$33))+(((Model!$I$7-$BX$6)*Model!$E$32)*(Model!$D$33-Model!$E$34)))/(Model!$E$33-Model!$E$34)))-((Model!$I$7-$BX$6)*Model!$E$32),0))*Model!$E$34</f>
        <v>0</v>
      </c>
      <c r="AR24" s="82">
        <f ca="1">(MAX(MIN(SUM($C$14:AR14),((((Model!$I$7-$BX$6)*(Model!$E$33-Model!$D$33))+(((Model!$I$7-$BX$6)*Model!$E$32)*(Model!$D$33-Model!$E$34)))/(Model!$E$33-Model!$E$34)))-((Model!$I$7-$BX$6)*Model!$E$32),0)-MAX(MIN(SUM($C$14:AQ14),((((Model!$I$7-$BX$6)*(Model!$E$33-Model!$D$33))+(((Model!$I$7-$BX$6)*Model!$E$32)*(Model!$D$33-Model!$E$34)))/(Model!$E$33-Model!$E$34)))-((Model!$I$7-$BX$6)*Model!$E$32),0))*Model!$E$34</f>
        <v>0</v>
      </c>
      <c r="AS24" s="82">
        <f ca="1">(MAX(MIN(SUM($C$14:AS14),((((Model!$I$7-$BX$6)*(Model!$E$33-Model!$D$33))+(((Model!$I$7-$BX$6)*Model!$E$32)*(Model!$D$33-Model!$E$34)))/(Model!$E$33-Model!$E$34)))-((Model!$I$7-$BX$6)*Model!$E$32),0)-MAX(MIN(SUM($C$14:AR14),((((Model!$I$7-$BX$6)*(Model!$E$33-Model!$D$33))+(((Model!$I$7-$BX$6)*Model!$E$32)*(Model!$D$33-Model!$E$34)))/(Model!$E$33-Model!$E$34)))-((Model!$I$7-$BX$6)*Model!$E$32),0))*Model!$E$34</f>
        <v>0</v>
      </c>
      <c r="AT24" s="82">
        <f ca="1">(MAX(MIN(SUM($C$14:AT14),((((Model!$I$7-$BX$6)*(Model!$E$33-Model!$D$33))+(((Model!$I$7-$BX$6)*Model!$E$32)*(Model!$D$33-Model!$E$34)))/(Model!$E$33-Model!$E$34)))-((Model!$I$7-$BX$6)*Model!$E$32),0)-MAX(MIN(SUM($C$14:AS14),((((Model!$I$7-$BX$6)*(Model!$E$33-Model!$D$33))+(((Model!$I$7-$BX$6)*Model!$E$32)*(Model!$D$33-Model!$E$34)))/(Model!$E$33-Model!$E$34)))-((Model!$I$7-$BX$6)*Model!$E$32),0))*Model!$E$34</f>
        <v>0</v>
      </c>
      <c r="AU24" s="82">
        <f ca="1">(MAX(MIN(SUM($C$14:AU14),((((Model!$I$7-$BX$6)*(Model!$E$33-Model!$D$33))+(((Model!$I$7-$BX$6)*Model!$E$32)*(Model!$D$33-Model!$E$34)))/(Model!$E$33-Model!$E$34)))-((Model!$I$7-$BX$6)*Model!$E$32),0)-MAX(MIN(SUM($C$14:AT14),((((Model!$I$7-$BX$6)*(Model!$E$33-Model!$D$33))+(((Model!$I$7-$BX$6)*Model!$E$32)*(Model!$D$33-Model!$E$34)))/(Model!$E$33-Model!$E$34)))-((Model!$I$7-$BX$6)*Model!$E$32),0))*Model!$E$34</f>
        <v>0</v>
      </c>
      <c r="AV24" s="82">
        <f ca="1">(MAX(MIN(SUM($C$14:AV14),((((Model!$I$7-$BX$6)*(Model!$E$33-Model!$D$33))+(((Model!$I$7-$BX$6)*Model!$E$32)*(Model!$D$33-Model!$E$34)))/(Model!$E$33-Model!$E$34)))-((Model!$I$7-$BX$6)*Model!$E$32),0)-MAX(MIN(SUM($C$14:AU14),((((Model!$I$7-$BX$6)*(Model!$E$33-Model!$D$33))+(((Model!$I$7-$BX$6)*Model!$E$32)*(Model!$D$33-Model!$E$34)))/(Model!$E$33-Model!$E$34)))-((Model!$I$7-$BX$6)*Model!$E$32),0))*Model!$E$34</f>
        <v>0</v>
      </c>
      <c r="AW24" s="82">
        <f ca="1">(MAX(MIN(SUM($C$14:AW14),((((Model!$I$7-$BX$6)*(Model!$E$33-Model!$D$33))+(((Model!$I$7-$BX$6)*Model!$E$32)*(Model!$D$33-Model!$E$34)))/(Model!$E$33-Model!$E$34)))-((Model!$I$7-$BX$6)*Model!$E$32),0)-MAX(MIN(SUM($C$14:AV14),((((Model!$I$7-$BX$6)*(Model!$E$33-Model!$D$33))+(((Model!$I$7-$BX$6)*Model!$E$32)*(Model!$D$33-Model!$E$34)))/(Model!$E$33-Model!$E$34)))-((Model!$I$7-$BX$6)*Model!$E$32),0))*Model!$E$34</f>
        <v>0</v>
      </c>
      <c r="AX24" s="82">
        <f ca="1">(MAX(MIN(SUM($C$14:AX14),((((Model!$I$7-$BX$6)*(Model!$E$33-Model!$D$33))+(((Model!$I$7-$BX$6)*Model!$E$32)*(Model!$D$33-Model!$E$34)))/(Model!$E$33-Model!$E$34)))-((Model!$I$7-$BX$6)*Model!$E$32),0)-MAX(MIN(SUM($C$14:AW14),((((Model!$I$7-$BX$6)*(Model!$E$33-Model!$D$33))+(((Model!$I$7-$BX$6)*Model!$E$32)*(Model!$D$33-Model!$E$34)))/(Model!$E$33-Model!$E$34)))-((Model!$I$7-$BX$6)*Model!$E$32),0))*Model!$E$34</f>
        <v>0</v>
      </c>
      <c r="AY24" s="82">
        <f ca="1">(MAX(MIN(SUM($C$14:AY14),((((Model!$I$7-$BX$6)*(Model!$E$33-Model!$D$33))+(((Model!$I$7-$BX$6)*Model!$E$32)*(Model!$D$33-Model!$E$34)))/(Model!$E$33-Model!$E$34)))-((Model!$I$7-$BX$6)*Model!$E$32),0)-MAX(MIN(SUM($C$14:AX14),((((Model!$I$7-$BX$6)*(Model!$E$33-Model!$D$33))+(((Model!$I$7-$BX$6)*Model!$E$32)*(Model!$D$33-Model!$E$34)))/(Model!$E$33-Model!$E$34)))-((Model!$I$7-$BX$6)*Model!$E$32),0))*Model!$E$34</f>
        <v>0</v>
      </c>
      <c r="AZ24" s="82">
        <f ca="1">(MAX(MIN(SUM($C$14:AZ14),((((Model!$I$7-$BX$6)*(Model!$E$33-Model!$D$33))+(((Model!$I$7-$BX$6)*Model!$E$32)*(Model!$D$33-Model!$E$34)))/(Model!$E$33-Model!$E$34)))-((Model!$I$7-$BX$6)*Model!$E$32),0)-MAX(MIN(SUM($C$14:AY14),((((Model!$I$7-$BX$6)*(Model!$E$33-Model!$D$33))+(((Model!$I$7-$BX$6)*Model!$E$32)*(Model!$D$33-Model!$E$34)))/(Model!$E$33-Model!$E$34)))-((Model!$I$7-$BX$6)*Model!$E$32),0))*Model!$E$34</f>
        <v>0</v>
      </c>
      <c r="BA24" s="82">
        <f ca="1">(MAX(MIN(SUM($C$14:BA14),((((Model!$I$7-$BX$6)*(Model!$E$33-Model!$D$33))+(((Model!$I$7-$BX$6)*Model!$E$32)*(Model!$D$33-Model!$E$34)))/(Model!$E$33-Model!$E$34)))-((Model!$I$7-$BX$6)*Model!$E$32),0)-MAX(MIN(SUM($C$14:AZ14),((((Model!$I$7-$BX$6)*(Model!$E$33-Model!$D$33))+(((Model!$I$7-$BX$6)*Model!$E$32)*(Model!$D$33-Model!$E$34)))/(Model!$E$33-Model!$E$34)))-((Model!$I$7-$BX$6)*Model!$E$32),0))*Model!$E$34</f>
        <v>0</v>
      </c>
      <c r="BB24" s="82">
        <f ca="1">(MAX(MIN(SUM($C$14:BB14),((((Model!$I$7-$BX$6)*(Model!$E$33-Model!$D$33))+(((Model!$I$7-$BX$6)*Model!$E$32)*(Model!$D$33-Model!$E$34)))/(Model!$E$33-Model!$E$34)))-((Model!$I$7-$BX$6)*Model!$E$32),0)-MAX(MIN(SUM($C$14:BA14),((((Model!$I$7-$BX$6)*(Model!$E$33-Model!$D$33))+(((Model!$I$7-$BX$6)*Model!$E$32)*(Model!$D$33-Model!$E$34)))/(Model!$E$33-Model!$E$34)))-((Model!$I$7-$BX$6)*Model!$E$32),0))*Model!$E$34</f>
        <v>0</v>
      </c>
      <c r="BC24" s="82">
        <f ca="1">(MAX(MIN(SUM($C$14:BC14),((((Model!$I$7-$BX$6)*(Model!$E$33-Model!$D$33))+(((Model!$I$7-$BX$6)*Model!$E$32)*(Model!$D$33-Model!$E$34)))/(Model!$E$33-Model!$E$34)))-((Model!$I$7-$BX$6)*Model!$E$32),0)-MAX(MIN(SUM($C$14:BB14),((((Model!$I$7-$BX$6)*(Model!$E$33-Model!$D$33))+(((Model!$I$7-$BX$6)*Model!$E$32)*(Model!$D$33-Model!$E$34)))/(Model!$E$33-Model!$E$34)))-((Model!$I$7-$BX$6)*Model!$E$32),0))*Model!$E$34</f>
        <v>0</v>
      </c>
      <c r="BD24" s="82">
        <f ca="1">(MAX(MIN(SUM($C$14:BD14),((((Model!$I$7-$BX$6)*(Model!$E$33-Model!$D$33))+(((Model!$I$7-$BX$6)*Model!$E$32)*(Model!$D$33-Model!$E$34)))/(Model!$E$33-Model!$E$34)))-((Model!$I$7-$BX$6)*Model!$E$32),0)-MAX(MIN(SUM($C$14:BC14),((((Model!$I$7-$BX$6)*(Model!$E$33-Model!$D$33))+(((Model!$I$7-$BX$6)*Model!$E$32)*(Model!$D$33-Model!$E$34)))/(Model!$E$33-Model!$E$34)))-((Model!$I$7-$BX$6)*Model!$E$32),0))*Model!$E$34</f>
        <v>0</v>
      </c>
      <c r="BE24" s="82">
        <f ca="1">(MAX(MIN(SUM($C$14:BE14),((((Model!$I$7-$BX$6)*(Model!$E$33-Model!$D$33))+(((Model!$I$7-$BX$6)*Model!$E$32)*(Model!$D$33-Model!$E$34)))/(Model!$E$33-Model!$E$34)))-((Model!$I$7-$BX$6)*Model!$E$32),0)-MAX(MIN(SUM($C$14:BD14),((((Model!$I$7-$BX$6)*(Model!$E$33-Model!$D$33))+(((Model!$I$7-$BX$6)*Model!$E$32)*(Model!$D$33-Model!$E$34)))/(Model!$E$33-Model!$E$34)))-((Model!$I$7-$BX$6)*Model!$E$32),0))*Model!$E$34</f>
        <v>0</v>
      </c>
      <c r="BF24" s="82">
        <f ca="1">(MAX(MIN(SUM($C$14:BF14),((((Model!$I$7-$BX$6)*(Model!$E$33-Model!$D$33))+(((Model!$I$7-$BX$6)*Model!$E$32)*(Model!$D$33-Model!$E$34)))/(Model!$E$33-Model!$E$34)))-((Model!$I$7-$BX$6)*Model!$E$32),0)-MAX(MIN(SUM($C$14:BE14),((((Model!$I$7-$BX$6)*(Model!$E$33-Model!$D$33))+(((Model!$I$7-$BX$6)*Model!$E$32)*(Model!$D$33-Model!$E$34)))/(Model!$E$33-Model!$E$34)))-((Model!$I$7-$BX$6)*Model!$E$32),0))*Model!$E$34</f>
        <v>0</v>
      </c>
      <c r="BG24" s="82">
        <f ca="1">(MAX(MIN(SUM($C$14:BG14),((((Model!$I$7-$BX$6)*(Model!$E$33-Model!$D$33))+(((Model!$I$7-$BX$6)*Model!$E$32)*(Model!$D$33-Model!$E$34)))/(Model!$E$33-Model!$E$34)))-((Model!$I$7-$BX$6)*Model!$E$32),0)-MAX(MIN(SUM($C$14:BF14),((((Model!$I$7-$BX$6)*(Model!$E$33-Model!$D$33))+(((Model!$I$7-$BX$6)*Model!$E$32)*(Model!$D$33-Model!$E$34)))/(Model!$E$33-Model!$E$34)))-((Model!$I$7-$BX$6)*Model!$E$32),0))*Model!$E$34</f>
        <v>0</v>
      </c>
      <c r="BH24" s="82">
        <f ca="1">(MAX(MIN(SUM($C$14:BH14),((((Model!$I$7-$BX$6)*(Model!$E$33-Model!$D$33))+(((Model!$I$7-$BX$6)*Model!$E$32)*(Model!$D$33-Model!$E$34)))/(Model!$E$33-Model!$E$34)))-((Model!$I$7-$BX$6)*Model!$E$32),0)-MAX(MIN(SUM($C$14:BG14),((((Model!$I$7-$BX$6)*(Model!$E$33-Model!$D$33))+(((Model!$I$7-$BX$6)*Model!$E$32)*(Model!$D$33-Model!$E$34)))/(Model!$E$33-Model!$E$34)))-((Model!$I$7-$BX$6)*Model!$E$32),0))*Model!$E$34</f>
        <v>0</v>
      </c>
      <c r="BI24" s="82">
        <f ca="1">(MAX(MIN(SUM($C$14:BI14),((((Model!$I$7-$BX$6)*(Model!$E$33-Model!$D$33))+(((Model!$I$7-$BX$6)*Model!$E$32)*(Model!$D$33-Model!$E$34)))/(Model!$E$33-Model!$E$34)))-((Model!$I$7-$BX$6)*Model!$E$32),0)-MAX(MIN(SUM($C$14:BH14),((((Model!$I$7-$BX$6)*(Model!$E$33-Model!$D$33))+(((Model!$I$7-$BX$6)*Model!$E$32)*(Model!$D$33-Model!$E$34)))/(Model!$E$33-Model!$E$34)))-((Model!$I$7-$BX$6)*Model!$E$32),0))*Model!$E$34</f>
        <v>0</v>
      </c>
      <c r="BJ24" s="82">
        <f ca="1">(MAX(MIN(SUM($C$14:BJ14),((((Model!$I$7-$BX$6)*(Model!$E$33-Model!$D$33))+(((Model!$I$7-$BX$6)*Model!$E$32)*(Model!$D$33-Model!$E$34)))/(Model!$E$33-Model!$E$34)))-((Model!$I$7-$BX$6)*Model!$E$32),0)-MAX(MIN(SUM($C$14:BI14),((((Model!$I$7-$BX$6)*(Model!$E$33-Model!$D$33))+(((Model!$I$7-$BX$6)*Model!$E$32)*(Model!$D$33-Model!$E$34)))/(Model!$E$33-Model!$E$34)))-((Model!$I$7-$BX$6)*Model!$E$32),0))*Model!$E$34</f>
        <v>0</v>
      </c>
      <c r="BK24" s="82">
        <f ca="1">(MAX(MIN(SUM($C$14:BK14),((((Model!$I$7-$BX$6)*(Model!$E$33-Model!$D$33))+(((Model!$I$7-$BX$6)*Model!$E$32)*(Model!$D$33-Model!$E$34)))/(Model!$E$33-Model!$E$34)))-((Model!$I$7-$BX$6)*Model!$E$32),0)-MAX(MIN(SUM($C$14:BJ14),((((Model!$I$7-$BX$6)*(Model!$E$33-Model!$D$33))+(((Model!$I$7-$BX$6)*Model!$E$32)*(Model!$D$33-Model!$E$34)))/(Model!$E$33-Model!$E$34)))-((Model!$I$7-$BX$6)*Model!$E$32),0))*Model!$E$34</f>
        <v>0</v>
      </c>
      <c r="BL24" s="82">
        <f ca="1">(MAX(MIN(SUM($C$14:BL14),((((Model!$I$7-$BX$6)*(Model!$E$33-Model!$D$33))+(((Model!$I$7-$BX$6)*Model!$E$32)*(Model!$D$33-Model!$E$34)))/(Model!$E$33-Model!$E$34)))-((Model!$I$7-$BX$6)*Model!$E$32),0)-MAX(MIN(SUM($C$14:BK14),((((Model!$I$7-$BX$6)*(Model!$E$33-Model!$D$33))+(((Model!$I$7-$BX$6)*Model!$E$32)*(Model!$D$33-Model!$E$34)))/(Model!$E$33-Model!$E$34)))-((Model!$I$7-$BX$6)*Model!$E$32),0))*Model!$E$34</f>
        <v>0</v>
      </c>
      <c r="BM24" s="82">
        <f ca="1">(MAX(MIN(SUM($C$14:BM14),((((Model!$I$7-$BX$6)*(Model!$E$33-Model!$D$33))+(((Model!$I$7-$BX$6)*Model!$E$32)*(Model!$D$33-Model!$E$34)))/(Model!$E$33-Model!$E$34)))-((Model!$I$7-$BX$6)*Model!$E$32),0)-MAX(MIN(SUM($C$14:BL14),((((Model!$I$7-$BX$6)*(Model!$E$33-Model!$D$33))+(((Model!$I$7-$BX$6)*Model!$E$32)*(Model!$D$33-Model!$E$34)))/(Model!$E$33-Model!$E$34)))-((Model!$I$7-$BX$6)*Model!$E$32),0))*Model!$E$34</f>
        <v>0</v>
      </c>
      <c r="BN24" s="82">
        <f ca="1">(MAX(MIN(SUM($C$14:BN14),((((Model!$I$7-$BX$6)*(Model!$E$33-Model!$D$33))+(((Model!$I$7-$BX$6)*Model!$E$32)*(Model!$D$33-Model!$E$34)))/(Model!$E$33-Model!$E$34)))-((Model!$I$7-$BX$6)*Model!$E$32),0)-MAX(MIN(SUM($C$14:BM14),((((Model!$I$7-$BX$6)*(Model!$E$33-Model!$D$33))+(((Model!$I$7-$BX$6)*Model!$E$32)*(Model!$D$33-Model!$E$34)))/(Model!$E$33-Model!$E$34)))-((Model!$I$7-$BX$6)*Model!$E$32),0))*Model!$E$34</f>
        <v>0</v>
      </c>
      <c r="BO24" s="82">
        <f ca="1">(MAX(MIN(SUM($C$14:BO14),((((Model!$I$7-$BX$6)*(Model!$E$33-Model!$D$33))+(((Model!$I$7-$BX$6)*Model!$E$32)*(Model!$D$33-Model!$E$34)))/(Model!$E$33-Model!$E$34)))-((Model!$I$7-$BX$6)*Model!$E$32),0)-MAX(MIN(SUM($C$14:BN14),((((Model!$I$7-$BX$6)*(Model!$E$33-Model!$D$33))+(((Model!$I$7-$BX$6)*Model!$E$32)*(Model!$D$33-Model!$E$34)))/(Model!$E$33-Model!$E$34)))-((Model!$I$7-$BX$6)*Model!$E$32),0))*Model!$E$34</f>
        <v>0</v>
      </c>
      <c r="BP24" s="82">
        <f ca="1">(MAX(MIN(SUM($C$14:BP14),((((Model!$I$7-$BX$6)*(Model!$E$33-Model!$D$33))+(((Model!$I$7-$BX$6)*Model!$E$32)*(Model!$D$33-Model!$E$34)))/(Model!$E$33-Model!$E$34)))-((Model!$I$7-$BX$6)*Model!$E$32),0)-MAX(MIN(SUM($C$14:BO14),((((Model!$I$7-$BX$6)*(Model!$E$33-Model!$D$33))+(((Model!$I$7-$BX$6)*Model!$E$32)*(Model!$D$33-Model!$E$34)))/(Model!$E$33-Model!$E$34)))-((Model!$I$7-$BX$6)*Model!$E$32),0))*Model!$E$34</f>
        <v>0</v>
      </c>
      <c r="BQ24" s="82">
        <f ca="1">(MAX(MIN(SUM($C$14:BQ14),((((Model!$I$7-$BX$6)*(Model!$E$33-Model!$D$33))+(((Model!$I$7-$BX$6)*Model!$E$32)*(Model!$D$33-Model!$E$34)))/(Model!$E$33-Model!$E$34)))-((Model!$I$7-$BX$6)*Model!$E$32),0)-MAX(MIN(SUM($C$14:BP14),((((Model!$I$7-$BX$6)*(Model!$E$33-Model!$D$33))+(((Model!$I$7-$BX$6)*Model!$E$32)*(Model!$D$33-Model!$E$34)))/(Model!$E$33-Model!$E$34)))-((Model!$I$7-$BX$6)*Model!$E$32),0))*Model!$E$34</f>
        <v>0</v>
      </c>
      <c r="BR24" s="82">
        <f ca="1">(MAX(MIN(SUM($C$14:BR14),((((Model!$I$7-$BX$6)*(Model!$E$33-Model!$D$33))+(((Model!$I$7-$BX$6)*Model!$E$32)*(Model!$D$33-Model!$E$34)))/(Model!$E$33-Model!$E$34)))-((Model!$I$7-$BX$6)*Model!$E$32),0)-MAX(MIN(SUM($C$14:BQ14),((((Model!$I$7-$BX$6)*(Model!$E$33-Model!$D$33))+(((Model!$I$7-$BX$6)*Model!$E$32)*(Model!$D$33-Model!$E$34)))/(Model!$E$33-Model!$E$34)))-((Model!$I$7-$BX$6)*Model!$E$32),0))*Model!$E$34</f>
        <v>0</v>
      </c>
      <c r="BS24" s="82">
        <f ca="1">(MAX(MIN(SUM($C$14:BS14),((((Model!$I$7-$BX$6)*(Model!$E$33-Model!$D$33))+(((Model!$I$7-$BX$6)*Model!$E$32)*(Model!$D$33-Model!$E$34)))/(Model!$E$33-Model!$E$34)))-((Model!$I$7-$BX$6)*Model!$E$32),0)-MAX(MIN(SUM($C$14:BR14),((((Model!$I$7-$BX$6)*(Model!$E$33-Model!$D$33))+(((Model!$I$7-$BX$6)*Model!$E$32)*(Model!$D$33-Model!$E$34)))/(Model!$E$33-Model!$E$34)))-((Model!$I$7-$BX$6)*Model!$E$32),0))*Model!$E$34</f>
        <v>0</v>
      </c>
      <c r="BT24" s="82">
        <f ca="1">(MAX(MIN(SUM($C$14:BT14),((((Model!$I$7-$BX$6)*(Model!$E$33-Model!$D$33))+(((Model!$I$7-$BX$6)*Model!$E$32)*(Model!$D$33-Model!$E$34)))/(Model!$E$33-Model!$E$34)))-((Model!$I$7-$BX$6)*Model!$E$32),0)-MAX(MIN(SUM($C$14:BS14),((((Model!$I$7-$BX$6)*(Model!$E$33-Model!$D$33))+(((Model!$I$7-$BX$6)*Model!$E$32)*(Model!$D$33-Model!$E$34)))/(Model!$E$33-Model!$E$34)))-((Model!$I$7-$BX$6)*Model!$E$32),0))*Model!$E$34</f>
        <v>0</v>
      </c>
      <c r="BU24" s="82">
        <f ca="1">(MAX(MIN(SUM($C$14:BU14),((((Model!$I$7-$BX$6)*(Model!$E$33-Model!$D$33))+(((Model!$I$7-$BX$6)*Model!$E$32)*(Model!$D$33-Model!$E$34)))/(Model!$E$33-Model!$E$34)))-((Model!$I$7-$BX$6)*Model!$E$32),0)-MAX(MIN(SUM($C$14:BT14),((((Model!$I$7-$BX$6)*(Model!$E$33-Model!$D$33))+(((Model!$I$7-$BX$6)*Model!$E$32)*(Model!$D$33-Model!$E$34)))/(Model!$E$33-Model!$E$34)))-((Model!$I$7-$BX$6)*Model!$E$32),0))*Model!$E$34</f>
        <v>0</v>
      </c>
      <c r="BV24" s="82">
        <f ca="1">(MAX(MIN(SUM($C$14:BV14),((((Model!$I$7-$BX$6)*(Model!$E$33-Model!$D$33))+(((Model!$I$7-$BX$6)*Model!$E$32)*(Model!$D$33-Model!$E$34)))/(Model!$E$33-Model!$E$34)))-((Model!$I$7-$BX$6)*Model!$E$32),0)-MAX(MIN(SUM($C$14:BU14),((((Model!$I$7-$BX$6)*(Model!$E$33-Model!$D$33))+(((Model!$I$7-$BX$6)*Model!$E$32)*(Model!$D$33-Model!$E$34)))/(Model!$E$33-Model!$E$34)))-((Model!$I$7-$BX$6)*Model!$E$32),0))*Model!$E$34</f>
        <v>0</v>
      </c>
      <c r="BW24" s="82">
        <f ca="1">(MAX(MIN(SUM($C$14:BW14),((((Model!$I$7-$BX$6)*(Model!$E$33-Model!$D$33))+(((Model!$I$7-$BX$6)*Model!$E$32)*(Model!$D$33-Model!$E$34)))/(Model!$E$33-Model!$E$34)))-((Model!$I$7-$BX$6)*Model!$E$32),0)-MAX(MIN(SUM($C$14:BV14),((((Model!$I$7-$BX$6)*(Model!$E$33-Model!$D$33))+(((Model!$I$7-$BX$6)*Model!$E$32)*(Model!$D$33-Model!$E$34)))/(Model!$E$33-Model!$E$34)))-((Model!$I$7-$BX$6)*Model!$E$32),0))*Model!$E$34</f>
        <v>0</v>
      </c>
      <c r="BX24" s="155">
        <f ca="1">SUM(C24:BW24)</f>
        <v>0</v>
      </c>
    </row>
    <row r="25" spans="1:76" x14ac:dyDescent="0.25">
      <c r="B25" s="81" t="str">
        <f>TEXT(Model!E33,"0%")&amp;" Carry Over "&amp;TEXT(Model!E32,"0.0x")</f>
        <v>20% Carry Over 1.0x</v>
      </c>
      <c r="C25" s="82">
        <v>0</v>
      </c>
      <c r="D25" s="82">
        <f ca="1">(MAX(SUM($C$14:D14)-MAX(((((Model!$I$7-$BX$6)*(Model!$E$33-Model!$D$33))+(((Model!$I$7-$BX$6)*Model!$E$32)*(Model!$D$33-Model!$E$34)))/(Model!$E$33-Model!$E$34)),(Model!$I$7-$BX$6)*Model!$E$32),0)-MAX(SUM($C$14:C14)-MAX(((((Model!$I$7-$BX$6)*(Model!$E$33-Model!$D$33))+(((Model!$I$7-$BX$6)*Model!$E$32)*(Model!$D$33-Model!$E$34)))/(Model!$E$33-Model!$E$34)),(Model!$I$7-$BX$6)*Model!$E$32),0))*Model!$E$33</f>
        <v>0</v>
      </c>
      <c r="E25" s="82">
        <f ca="1">(MAX(SUM($C$14:E14)-MAX(((((Model!$I$7-$BX$6)*(Model!$E$33-Model!$D$33))+(((Model!$I$7-$BX$6)*Model!$E$32)*(Model!$D$33-Model!$E$34)))/(Model!$E$33-Model!$E$34)),(Model!$I$7-$BX$6)*Model!$E$32),0)-MAX(SUM($C$14:D14)-MAX(((((Model!$I$7-$BX$6)*(Model!$E$33-Model!$D$33))+(((Model!$I$7-$BX$6)*Model!$E$32)*(Model!$D$33-Model!$E$34)))/(Model!$E$33-Model!$E$34)),(Model!$I$7-$BX$6)*Model!$E$32),0))*Model!$E$33</f>
        <v>0</v>
      </c>
      <c r="F25" s="82">
        <f ca="1">(MAX(SUM($C$14:F14)-MAX(((((Model!$I$7-$BX$6)*(Model!$E$33-Model!$D$33))+(((Model!$I$7-$BX$6)*Model!$E$32)*(Model!$D$33-Model!$E$34)))/(Model!$E$33-Model!$E$34)),(Model!$I$7-$BX$6)*Model!$E$32),0)-MAX(SUM($C$14:E14)-MAX(((((Model!$I$7-$BX$6)*(Model!$E$33-Model!$D$33))+(((Model!$I$7-$BX$6)*Model!$E$32)*(Model!$D$33-Model!$E$34)))/(Model!$E$33-Model!$E$34)),(Model!$I$7-$BX$6)*Model!$E$32),0))*Model!$E$33</f>
        <v>0</v>
      </c>
      <c r="G25" s="82">
        <f ca="1">(MAX(SUM($C$14:G14)-MAX(((((Model!$I$7-$BX$6)*(Model!$E$33-Model!$D$33))+(((Model!$I$7-$BX$6)*Model!$E$32)*(Model!$D$33-Model!$E$34)))/(Model!$E$33-Model!$E$34)),(Model!$I$7-$BX$6)*Model!$E$32),0)-MAX(SUM($C$14:F14)-MAX(((((Model!$I$7-$BX$6)*(Model!$E$33-Model!$D$33))+(((Model!$I$7-$BX$6)*Model!$E$32)*(Model!$D$33-Model!$E$34)))/(Model!$E$33-Model!$E$34)),(Model!$I$7-$BX$6)*Model!$E$32),0))*Model!$E$33</f>
        <v>0</v>
      </c>
      <c r="H25" s="82">
        <f ca="1">(MAX(SUM($C$14:H14)-MAX(((((Model!$I$7-$BX$6)*(Model!$E$33-Model!$D$33))+(((Model!$I$7-$BX$6)*Model!$E$32)*(Model!$D$33-Model!$E$34)))/(Model!$E$33-Model!$E$34)),(Model!$I$7-$BX$6)*Model!$E$32),0)-MAX(SUM($C$14:G14)-MAX(((((Model!$I$7-$BX$6)*(Model!$E$33-Model!$D$33))+(((Model!$I$7-$BX$6)*Model!$E$32)*(Model!$D$33-Model!$E$34)))/(Model!$E$33-Model!$E$34)),(Model!$I$7-$BX$6)*Model!$E$32),0))*Model!$E$33</f>
        <v>0</v>
      </c>
      <c r="I25" s="82">
        <f ca="1">(MAX(SUM($C$14:I14)-MAX(((((Model!$I$7-$BX$6)*(Model!$E$33-Model!$D$33))+(((Model!$I$7-$BX$6)*Model!$E$32)*(Model!$D$33-Model!$E$34)))/(Model!$E$33-Model!$E$34)),(Model!$I$7-$BX$6)*Model!$E$32),0)-MAX(SUM($C$14:H14)-MAX(((((Model!$I$7-$BX$6)*(Model!$E$33-Model!$D$33))+(((Model!$I$7-$BX$6)*Model!$E$32)*(Model!$D$33-Model!$E$34)))/(Model!$E$33-Model!$E$34)),(Model!$I$7-$BX$6)*Model!$E$32),0))*Model!$E$33</f>
        <v>0</v>
      </c>
      <c r="J25" s="82">
        <f ca="1">(MAX(SUM($C$14:J14)-MAX(((((Model!$I$7-$BX$6)*(Model!$E$33-Model!$D$33))+(((Model!$I$7-$BX$6)*Model!$E$32)*(Model!$D$33-Model!$E$34)))/(Model!$E$33-Model!$E$34)),(Model!$I$7-$BX$6)*Model!$E$32),0)-MAX(SUM($C$14:I14)-MAX(((((Model!$I$7-$BX$6)*(Model!$E$33-Model!$D$33))+(((Model!$I$7-$BX$6)*Model!$E$32)*(Model!$D$33-Model!$E$34)))/(Model!$E$33-Model!$E$34)),(Model!$I$7-$BX$6)*Model!$E$32),0))*Model!$E$33</f>
        <v>0</v>
      </c>
      <c r="K25" s="82">
        <f ca="1">(MAX(SUM($C$14:K14)-MAX(((((Model!$I$7-$BX$6)*(Model!$E$33-Model!$D$33))+(((Model!$I$7-$BX$6)*Model!$E$32)*(Model!$D$33-Model!$E$34)))/(Model!$E$33-Model!$E$34)),(Model!$I$7-$BX$6)*Model!$E$32),0)-MAX(SUM($C$14:J14)-MAX(((((Model!$I$7-$BX$6)*(Model!$E$33-Model!$D$33))+(((Model!$I$7-$BX$6)*Model!$E$32)*(Model!$D$33-Model!$E$34)))/(Model!$E$33-Model!$E$34)),(Model!$I$7-$BX$6)*Model!$E$32),0))*Model!$E$33</f>
        <v>0</v>
      </c>
      <c r="L25" s="82">
        <f ca="1">(MAX(SUM($C$14:L14)-MAX(((((Model!$I$7-$BX$6)*(Model!$E$33-Model!$D$33))+(((Model!$I$7-$BX$6)*Model!$E$32)*(Model!$D$33-Model!$E$34)))/(Model!$E$33-Model!$E$34)),(Model!$I$7-$BX$6)*Model!$E$32),0)-MAX(SUM($C$14:K14)-MAX(((((Model!$I$7-$BX$6)*(Model!$E$33-Model!$D$33))+(((Model!$I$7-$BX$6)*Model!$E$32)*(Model!$D$33-Model!$E$34)))/(Model!$E$33-Model!$E$34)),(Model!$I$7-$BX$6)*Model!$E$32),0))*Model!$E$33</f>
        <v>0</v>
      </c>
      <c r="M25" s="82">
        <f ca="1">(MAX(SUM($C$14:M14)-MAX(((((Model!$I$7-$BX$6)*(Model!$E$33-Model!$D$33))+(((Model!$I$7-$BX$6)*Model!$E$32)*(Model!$D$33-Model!$E$34)))/(Model!$E$33-Model!$E$34)),(Model!$I$7-$BX$6)*Model!$E$32),0)-MAX(SUM($C$14:L14)-MAX(((((Model!$I$7-$BX$6)*(Model!$E$33-Model!$D$33))+(((Model!$I$7-$BX$6)*Model!$E$32)*(Model!$D$33-Model!$E$34)))/(Model!$E$33-Model!$E$34)),(Model!$I$7-$BX$6)*Model!$E$32),0))*Model!$E$33</f>
        <v>0</v>
      </c>
      <c r="N25" s="82">
        <f ca="1">(MAX(SUM($C$14:N14)-MAX(((((Model!$I$7-$BX$6)*(Model!$E$33-Model!$D$33))+(((Model!$I$7-$BX$6)*Model!$E$32)*(Model!$D$33-Model!$E$34)))/(Model!$E$33-Model!$E$34)),(Model!$I$7-$BX$6)*Model!$E$32),0)-MAX(SUM($C$14:M14)-MAX(((((Model!$I$7-$BX$6)*(Model!$E$33-Model!$D$33))+(((Model!$I$7-$BX$6)*Model!$E$32)*(Model!$D$33-Model!$E$34)))/(Model!$E$33-Model!$E$34)),(Model!$I$7-$BX$6)*Model!$E$32),0))*Model!$E$33</f>
        <v>0</v>
      </c>
      <c r="O25" s="82">
        <f ca="1">(MAX(SUM($C$14:O14)-MAX(((((Model!$I$7-$BX$6)*(Model!$E$33-Model!$D$33))+(((Model!$I$7-$BX$6)*Model!$E$32)*(Model!$D$33-Model!$E$34)))/(Model!$E$33-Model!$E$34)),(Model!$I$7-$BX$6)*Model!$E$32),0)-MAX(SUM($C$14:N14)-MAX(((((Model!$I$7-$BX$6)*(Model!$E$33-Model!$D$33))+(((Model!$I$7-$BX$6)*Model!$E$32)*(Model!$D$33-Model!$E$34)))/(Model!$E$33-Model!$E$34)),(Model!$I$7-$BX$6)*Model!$E$32),0))*Model!$E$33</f>
        <v>0</v>
      </c>
      <c r="P25" s="82">
        <f ca="1">(MAX(SUM($C$14:P14)-MAX(((((Model!$I$7-$BX$6)*(Model!$E$33-Model!$D$33))+(((Model!$I$7-$BX$6)*Model!$E$32)*(Model!$D$33-Model!$E$34)))/(Model!$E$33-Model!$E$34)),(Model!$I$7-$BX$6)*Model!$E$32),0)-MAX(SUM($C$14:O14)-MAX(((((Model!$I$7-$BX$6)*(Model!$E$33-Model!$D$33))+(((Model!$I$7-$BX$6)*Model!$E$32)*(Model!$D$33-Model!$E$34)))/(Model!$E$33-Model!$E$34)),(Model!$I$7-$BX$6)*Model!$E$32),0))*Model!$E$33</f>
        <v>0</v>
      </c>
      <c r="Q25" s="82">
        <f ca="1">(MAX(SUM($C$14:Q14)-MAX(((((Model!$I$7-$BX$6)*(Model!$E$33-Model!$D$33))+(((Model!$I$7-$BX$6)*Model!$E$32)*(Model!$D$33-Model!$E$34)))/(Model!$E$33-Model!$E$34)),(Model!$I$7-$BX$6)*Model!$E$32),0)-MAX(SUM($C$14:P14)-MAX(((((Model!$I$7-$BX$6)*(Model!$E$33-Model!$D$33))+(((Model!$I$7-$BX$6)*Model!$E$32)*(Model!$D$33-Model!$E$34)))/(Model!$E$33-Model!$E$34)),(Model!$I$7-$BX$6)*Model!$E$32),0))*Model!$E$33</f>
        <v>0</v>
      </c>
      <c r="R25" s="82">
        <f ca="1">(MAX(SUM($C$14:R14)-MAX(((((Model!$I$7-$BX$6)*(Model!$E$33-Model!$D$33))+(((Model!$I$7-$BX$6)*Model!$E$32)*(Model!$D$33-Model!$E$34)))/(Model!$E$33-Model!$E$34)),(Model!$I$7-$BX$6)*Model!$E$32),0)-MAX(SUM($C$14:Q14)-MAX(((((Model!$I$7-$BX$6)*(Model!$E$33-Model!$D$33))+(((Model!$I$7-$BX$6)*Model!$E$32)*(Model!$D$33-Model!$E$34)))/(Model!$E$33-Model!$E$34)),(Model!$I$7-$BX$6)*Model!$E$32),0))*Model!$E$33</f>
        <v>0</v>
      </c>
      <c r="S25" s="82">
        <f ca="1">(MAX(SUM($C$14:S14)-MAX(((((Model!$I$7-$BX$6)*(Model!$E$33-Model!$D$33))+(((Model!$I$7-$BX$6)*Model!$E$32)*(Model!$D$33-Model!$E$34)))/(Model!$E$33-Model!$E$34)),(Model!$I$7-$BX$6)*Model!$E$32),0)-MAX(SUM($C$14:R14)-MAX(((((Model!$I$7-$BX$6)*(Model!$E$33-Model!$D$33))+(((Model!$I$7-$BX$6)*Model!$E$32)*(Model!$D$33-Model!$E$34)))/(Model!$E$33-Model!$E$34)),(Model!$I$7-$BX$6)*Model!$E$32),0))*Model!$E$33</f>
        <v>0</v>
      </c>
      <c r="T25" s="82">
        <f ca="1">(MAX(SUM($C$14:T14)-MAX(((((Model!$I$7-$BX$6)*(Model!$E$33-Model!$D$33))+(((Model!$I$7-$BX$6)*Model!$E$32)*(Model!$D$33-Model!$E$34)))/(Model!$E$33-Model!$E$34)),(Model!$I$7-$BX$6)*Model!$E$32),0)-MAX(SUM($C$14:S14)-MAX(((((Model!$I$7-$BX$6)*(Model!$E$33-Model!$D$33))+(((Model!$I$7-$BX$6)*Model!$E$32)*(Model!$D$33-Model!$E$34)))/(Model!$E$33-Model!$E$34)),(Model!$I$7-$BX$6)*Model!$E$32),0))*Model!$E$33</f>
        <v>0</v>
      </c>
      <c r="U25" s="82">
        <f ca="1">(MAX(SUM($C$14:U14)-MAX(((((Model!$I$7-$BX$6)*(Model!$E$33-Model!$D$33))+(((Model!$I$7-$BX$6)*Model!$E$32)*(Model!$D$33-Model!$E$34)))/(Model!$E$33-Model!$E$34)),(Model!$I$7-$BX$6)*Model!$E$32),0)-MAX(SUM($C$14:T14)-MAX(((((Model!$I$7-$BX$6)*(Model!$E$33-Model!$D$33))+(((Model!$I$7-$BX$6)*Model!$E$32)*(Model!$D$33-Model!$E$34)))/(Model!$E$33-Model!$E$34)),(Model!$I$7-$BX$6)*Model!$E$32),0))*Model!$E$33</f>
        <v>0</v>
      </c>
      <c r="V25" s="82">
        <f ca="1">(MAX(SUM($C$14:V14)-MAX(((((Model!$I$7-$BX$6)*(Model!$E$33-Model!$D$33))+(((Model!$I$7-$BX$6)*Model!$E$32)*(Model!$D$33-Model!$E$34)))/(Model!$E$33-Model!$E$34)),(Model!$I$7-$BX$6)*Model!$E$32),0)-MAX(SUM($C$14:U14)-MAX(((((Model!$I$7-$BX$6)*(Model!$E$33-Model!$D$33))+(((Model!$I$7-$BX$6)*Model!$E$32)*(Model!$D$33-Model!$E$34)))/(Model!$E$33-Model!$E$34)),(Model!$I$7-$BX$6)*Model!$E$32),0))*Model!$E$33</f>
        <v>0</v>
      </c>
      <c r="W25" s="82">
        <f ca="1">(MAX(SUM($C$14:W14)-MAX(((((Model!$I$7-$BX$6)*(Model!$E$33-Model!$D$33))+(((Model!$I$7-$BX$6)*Model!$E$32)*(Model!$D$33-Model!$E$34)))/(Model!$E$33-Model!$E$34)),(Model!$I$7-$BX$6)*Model!$E$32),0)-MAX(SUM($C$14:V14)-MAX(((((Model!$I$7-$BX$6)*(Model!$E$33-Model!$D$33))+(((Model!$I$7-$BX$6)*Model!$E$32)*(Model!$D$33-Model!$E$34)))/(Model!$E$33-Model!$E$34)),(Model!$I$7-$BX$6)*Model!$E$32),0))*Model!$E$33</f>
        <v>0</v>
      </c>
      <c r="X25" s="82">
        <f ca="1">(MAX(SUM($C$14:X14)-MAX(((((Model!$I$7-$BX$6)*(Model!$E$33-Model!$D$33))+(((Model!$I$7-$BX$6)*Model!$E$32)*(Model!$D$33-Model!$E$34)))/(Model!$E$33-Model!$E$34)),(Model!$I$7-$BX$6)*Model!$E$32),0)-MAX(SUM($C$14:W14)-MAX(((((Model!$I$7-$BX$6)*(Model!$E$33-Model!$D$33))+(((Model!$I$7-$BX$6)*Model!$E$32)*(Model!$D$33-Model!$E$34)))/(Model!$E$33-Model!$E$34)),(Model!$I$7-$BX$6)*Model!$E$32),0))*Model!$E$33</f>
        <v>0</v>
      </c>
      <c r="Y25" s="82">
        <f ca="1">(MAX(SUM($C$14:Y14)-MAX(((((Model!$I$7-$BX$6)*(Model!$E$33-Model!$D$33))+(((Model!$I$7-$BX$6)*Model!$E$32)*(Model!$D$33-Model!$E$34)))/(Model!$E$33-Model!$E$34)),(Model!$I$7-$BX$6)*Model!$E$32),0)-MAX(SUM($C$14:X14)-MAX(((((Model!$I$7-$BX$6)*(Model!$E$33-Model!$D$33))+(((Model!$I$7-$BX$6)*Model!$E$32)*(Model!$D$33-Model!$E$34)))/(Model!$E$33-Model!$E$34)),(Model!$I$7-$BX$6)*Model!$E$32),0))*Model!$E$33</f>
        <v>0</v>
      </c>
      <c r="Z25" s="82">
        <f ca="1">(MAX(SUM($C$14:Z14)-MAX(((((Model!$I$7-$BX$6)*(Model!$E$33-Model!$D$33))+(((Model!$I$7-$BX$6)*Model!$E$32)*(Model!$D$33-Model!$E$34)))/(Model!$E$33-Model!$E$34)),(Model!$I$7-$BX$6)*Model!$E$32),0)-MAX(SUM($C$14:Y14)-MAX(((((Model!$I$7-$BX$6)*(Model!$E$33-Model!$D$33))+(((Model!$I$7-$BX$6)*Model!$E$32)*(Model!$D$33-Model!$E$34)))/(Model!$E$33-Model!$E$34)),(Model!$I$7-$BX$6)*Model!$E$32),0))*Model!$E$33</f>
        <v>0</v>
      </c>
      <c r="AA25" s="82">
        <f ca="1">(MAX(SUM($C$14:AA14)-MAX(((((Model!$I$7-$BX$6)*(Model!$E$33-Model!$D$33))+(((Model!$I$7-$BX$6)*Model!$E$32)*(Model!$D$33-Model!$E$34)))/(Model!$E$33-Model!$E$34)),(Model!$I$7-$BX$6)*Model!$E$32),0)-MAX(SUM($C$14:Z14)-MAX(((((Model!$I$7-$BX$6)*(Model!$E$33-Model!$D$33))+(((Model!$I$7-$BX$6)*Model!$E$32)*(Model!$D$33-Model!$E$34)))/(Model!$E$33-Model!$E$34)),(Model!$I$7-$BX$6)*Model!$E$32),0))*Model!$E$33</f>
        <v>0</v>
      </c>
      <c r="AB25" s="82">
        <f ca="1">(MAX(SUM($C$14:AB14)-MAX(((((Model!$I$7-$BX$6)*(Model!$E$33-Model!$D$33))+(((Model!$I$7-$BX$6)*Model!$E$32)*(Model!$D$33-Model!$E$34)))/(Model!$E$33-Model!$E$34)),(Model!$I$7-$BX$6)*Model!$E$32),0)-MAX(SUM($C$14:AA14)-MAX(((((Model!$I$7-$BX$6)*(Model!$E$33-Model!$D$33))+(((Model!$I$7-$BX$6)*Model!$E$32)*(Model!$D$33-Model!$E$34)))/(Model!$E$33-Model!$E$34)),(Model!$I$7-$BX$6)*Model!$E$32),0))*Model!$E$33</f>
        <v>0</v>
      </c>
      <c r="AC25" s="82">
        <f ca="1">(MAX(SUM($C$14:AC14)-MAX(((((Model!$I$7-$BX$6)*(Model!$E$33-Model!$D$33))+(((Model!$I$7-$BX$6)*Model!$E$32)*(Model!$D$33-Model!$E$34)))/(Model!$E$33-Model!$E$34)),(Model!$I$7-$BX$6)*Model!$E$32),0)-MAX(SUM($C$14:AB14)-MAX(((((Model!$I$7-$BX$6)*(Model!$E$33-Model!$D$33))+(((Model!$I$7-$BX$6)*Model!$E$32)*(Model!$D$33-Model!$E$34)))/(Model!$E$33-Model!$E$34)),(Model!$I$7-$BX$6)*Model!$E$32),0))*Model!$E$33</f>
        <v>0</v>
      </c>
      <c r="AD25" s="82">
        <f ca="1">(MAX(SUM($C$14:AD14)-MAX(((((Model!$I$7-$BX$6)*(Model!$E$33-Model!$D$33))+(((Model!$I$7-$BX$6)*Model!$E$32)*(Model!$D$33-Model!$E$34)))/(Model!$E$33-Model!$E$34)),(Model!$I$7-$BX$6)*Model!$E$32),0)-MAX(SUM($C$14:AC14)-MAX(((((Model!$I$7-$BX$6)*(Model!$E$33-Model!$D$33))+(((Model!$I$7-$BX$6)*Model!$E$32)*(Model!$D$33-Model!$E$34)))/(Model!$E$33-Model!$E$34)),(Model!$I$7-$BX$6)*Model!$E$32),0))*Model!$E$33</f>
        <v>0</v>
      </c>
      <c r="AE25" s="82">
        <f ca="1">(MAX(SUM($C$14:AE14)-MAX(((((Model!$I$7-$BX$6)*(Model!$E$33-Model!$D$33))+(((Model!$I$7-$BX$6)*Model!$E$32)*(Model!$D$33-Model!$E$34)))/(Model!$E$33-Model!$E$34)),(Model!$I$7-$BX$6)*Model!$E$32),0)-MAX(SUM($C$14:AD14)-MAX(((((Model!$I$7-$BX$6)*(Model!$E$33-Model!$D$33))+(((Model!$I$7-$BX$6)*Model!$E$32)*(Model!$D$33-Model!$E$34)))/(Model!$E$33-Model!$E$34)),(Model!$I$7-$BX$6)*Model!$E$32),0))*Model!$E$33</f>
        <v>0</v>
      </c>
      <c r="AF25" s="82">
        <f ca="1">(MAX(SUM($C$14:AF14)-MAX(((((Model!$I$7-$BX$6)*(Model!$E$33-Model!$D$33))+(((Model!$I$7-$BX$6)*Model!$E$32)*(Model!$D$33-Model!$E$34)))/(Model!$E$33-Model!$E$34)),(Model!$I$7-$BX$6)*Model!$E$32),0)-MAX(SUM($C$14:AE14)-MAX(((((Model!$I$7-$BX$6)*(Model!$E$33-Model!$D$33))+(((Model!$I$7-$BX$6)*Model!$E$32)*(Model!$D$33-Model!$E$34)))/(Model!$E$33-Model!$E$34)),(Model!$I$7-$BX$6)*Model!$E$32),0))*Model!$E$33</f>
        <v>0</v>
      </c>
      <c r="AG25" s="82">
        <f ca="1">(MAX(SUM($C$14:AG14)-MAX(((((Model!$I$7-$BX$6)*(Model!$E$33-Model!$D$33))+(((Model!$I$7-$BX$6)*Model!$E$32)*(Model!$D$33-Model!$E$34)))/(Model!$E$33-Model!$E$34)),(Model!$I$7-$BX$6)*Model!$E$32),0)-MAX(SUM($C$14:AF14)-MAX(((((Model!$I$7-$BX$6)*(Model!$E$33-Model!$D$33))+(((Model!$I$7-$BX$6)*Model!$E$32)*(Model!$D$33-Model!$E$34)))/(Model!$E$33-Model!$E$34)),(Model!$I$7-$BX$6)*Model!$E$32),0))*Model!$E$33</f>
        <v>0</v>
      </c>
      <c r="AH25" s="82">
        <f ca="1">(MAX(SUM($C$14:AH14)-MAX(((((Model!$I$7-$BX$6)*(Model!$E$33-Model!$D$33))+(((Model!$I$7-$BX$6)*Model!$E$32)*(Model!$D$33-Model!$E$34)))/(Model!$E$33-Model!$E$34)),(Model!$I$7-$BX$6)*Model!$E$32),0)-MAX(SUM($C$14:AG14)-MAX(((((Model!$I$7-$BX$6)*(Model!$E$33-Model!$D$33))+(((Model!$I$7-$BX$6)*Model!$E$32)*(Model!$D$33-Model!$E$34)))/(Model!$E$33-Model!$E$34)),(Model!$I$7-$BX$6)*Model!$E$32),0))*Model!$E$33</f>
        <v>3046290.8664105833</v>
      </c>
      <c r="AI25" s="82">
        <f ca="1">(MAX(SUM($C$14:AI14)-MAX(((((Model!$I$7-$BX$6)*(Model!$E$33-Model!$D$33))+(((Model!$I$7-$BX$6)*Model!$E$32)*(Model!$D$33-Model!$E$34)))/(Model!$E$33-Model!$E$34)),(Model!$I$7-$BX$6)*Model!$E$32),0)-MAX(SUM($C$14:AH14)-MAX(((((Model!$I$7-$BX$6)*(Model!$E$33-Model!$D$33))+(((Model!$I$7-$BX$6)*Model!$E$32)*(Model!$D$33-Model!$E$34)))/(Model!$E$33-Model!$E$34)),(Model!$I$7-$BX$6)*Model!$E$32),0))*Model!$E$33</f>
        <v>14011477.400768245</v>
      </c>
      <c r="AJ25" s="82">
        <f ca="1">(MAX(SUM($C$14:AJ14)-MAX(((((Model!$I$7-$BX$6)*(Model!$E$33-Model!$D$33))+(((Model!$I$7-$BX$6)*Model!$E$32)*(Model!$D$33-Model!$E$34)))/(Model!$E$33-Model!$E$34)),(Model!$I$7-$BX$6)*Model!$E$32),0)-MAX(SUM($C$14:AI14)-MAX(((((Model!$I$7-$BX$6)*(Model!$E$33-Model!$D$33))+(((Model!$I$7-$BX$6)*Model!$E$32)*(Model!$D$33-Model!$E$34)))/(Model!$E$33-Model!$E$34)),(Model!$I$7-$BX$6)*Model!$E$32),0))*Model!$E$33</f>
        <v>0</v>
      </c>
      <c r="AK25" s="82">
        <f ca="1">(MAX(SUM($C$14:AK14)-MAX(((((Model!$I$7-$BX$6)*(Model!$E$33-Model!$D$33))+(((Model!$I$7-$BX$6)*Model!$E$32)*(Model!$D$33-Model!$E$34)))/(Model!$E$33-Model!$E$34)),(Model!$I$7-$BX$6)*Model!$E$32),0)-MAX(SUM($C$14:AJ14)-MAX(((((Model!$I$7-$BX$6)*(Model!$E$33-Model!$D$33))+(((Model!$I$7-$BX$6)*Model!$E$32)*(Model!$D$33-Model!$E$34)))/(Model!$E$33-Model!$E$34)),(Model!$I$7-$BX$6)*Model!$E$32),0))*Model!$E$33</f>
        <v>0</v>
      </c>
      <c r="AL25" s="82">
        <f ca="1">(MAX(SUM($C$14:AL14)-MAX(((((Model!$I$7-$BX$6)*(Model!$E$33-Model!$D$33))+(((Model!$I$7-$BX$6)*Model!$E$32)*(Model!$D$33-Model!$E$34)))/(Model!$E$33-Model!$E$34)),(Model!$I$7-$BX$6)*Model!$E$32),0)-MAX(SUM($C$14:AK14)-MAX(((((Model!$I$7-$BX$6)*(Model!$E$33-Model!$D$33))+(((Model!$I$7-$BX$6)*Model!$E$32)*(Model!$D$33-Model!$E$34)))/(Model!$E$33-Model!$E$34)),(Model!$I$7-$BX$6)*Model!$E$32),0))*Model!$E$33</f>
        <v>0</v>
      </c>
      <c r="AM25" s="82">
        <f ca="1">(MAX(SUM($C$14:AM14)-MAX(((((Model!$I$7-$BX$6)*(Model!$E$33-Model!$D$33))+(((Model!$I$7-$BX$6)*Model!$E$32)*(Model!$D$33-Model!$E$34)))/(Model!$E$33-Model!$E$34)),(Model!$I$7-$BX$6)*Model!$E$32),0)-MAX(SUM($C$14:AL14)-MAX(((((Model!$I$7-$BX$6)*(Model!$E$33-Model!$D$33))+(((Model!$I$7-$BX$6)*Model!$E$32)*(Model!$D$33-Model!$E$34)))/(Model!$E$33-Model!$E$34)),(Model!$I$7-$BX$6)*Model!$E$32),0))*Model!$E$33</f>
        <v>0</v>
      </c>
      <c r="AN25" s="82">
        <f ca="1">(MAX(SUM($C$14:AN14)-MAX(((((Model!$I$7-$BX$6)*(Model!$E$33-Model!$D$33))+(((Model!$I$7-$BX$6)*Model!$E$32)*(Model!$D$33-Model!$E$34)))/(Model!$E$33-Model!$E$34)),(Model!$I$7-$BX$6)*Model!$E$32),0)-MAX(SUM($C$14:AM14)-MAX(((((Model!$I$7-$BX$6)*(Model!$E$33-Model!$D$33))+(((Model!$I$7-$BX$6)*Model!$E$32)*(Model!$D$33-Model!$E$34)))/(Model!$E$33-Model!$E$34)),(Model!$I$7-$BX$6)*Model!$E$32),0))*Model!$E$33</f>
        <v>0</v>
      </c>
      <c r="AO25" s="82">
        <f ca="1">(MAX(SUM($C$14:AO14)-MAX(((((Model!$I$7-$BX$6)*(Model!$E$33-Model!$D$33))+(((Model!$I$7-$BX$6)*Model!$E$32)*(Model!$D$33-Model!$E$34)))/(Model!$E$33-Model!$E$34)),(Model!$I$7-$BX$6)*Model!$E$32),0)-MAX(SUM($C$14:AN14)-MAX(((((Model!$I$7-$BX$6)*(Model!$E$33-Model!$D$33))+(((Model!$I$7-$BX$6)*Model!$E$32)*(Model!$D$33-Model!$E$34)))/(Model!$E$33-Model!$E$34)),(Model!$I$7-$BX$6)*Model!$E$32),0))*Model!$E$33</f>
        <v>0</v>
      </c>
      <c r="AP25" s="82">
        <f ca="1">(MAX(SUM($C$14:AP14)-MAX(((((Model!$I$7-$BX$6)*(Model!$E$33-Model!$D$33))+(((Model!$I$7-$BX$6)*Model!$E$32)*(Model!$D$33-Model!$E$34)))/(Model!$E$33-Model!$E$34)),(Model!$I$7-$BX$6)*Model!$E$32),0)-MAX(SUM($C$14:AO14)-MAX(((((Model!$I$7-$BX$6)*(Model!$E$33-Model!$D$33))+(((Model!$I$7-$BX$6)*Model!$E$32)*(Model!$D$33-Model!$E$34)))/(Model!$E$33-Model!$E$34)),(Model!$I$7-$BX$6)*Model!$E$32),0))*Model!$E$33</f>
        <v>0</v>
      </c>
      <c r="AQ25" s="82">
        <f ca="1">(MAX(SUM($C$14:AQ14)-MAX(((((Model!$I$7-$BX$6)*(Model!$E$33-Model!$D$33))+(((Model!$I$7-$BX$6)*Model!$E$32)*(Model!$D$33-Model!$E$34)))/(Model!$E$33-Model!$E$34)),(Model!$I$7-$BX$6)*Model!$E$32),0)-MAX(SUM($C$14:AP14)-MAX(((((Model!$I$7-$BX$6)*(Model!$E$33-Model!$D$33))+(((Model!$I$7-$BX$6)*Model!$E$32)*(Model!$D$33-Model!$E$34)))/(Model!$E$33-Model!$E$34)),(Model!$I$7-$BX$6)*Model!$E$32),0))*Model!$E$33</f>
        <v>0</v>
      </c>
      <c r="AR25" s="82">
        <f ca="1">(MAX(SUM($C$14:AR14)-MAX(((((Model!$I$7-$BX$6)*(Model!$E$33-Model!$D$33))+(((Model!$I$7-$BX$6)*Model!$E$32)*(Model!$D$33-Model!$E$34)))/(Model!$E$33-Model!$E$34)),(Model!$I$7-$BX$6)*Model!$E$32),0)-MAX(SUM($C$14:AQ14)-MAX(((((Model!$I$7-$BX$6)*(Model!$E$33-Model!$D$33))+(((Model!$I$7-$BX$6)*Model!$E$32)*(Model!$D$33-Model!$E$34)))/(Model!$E$33-Model!$E$34)),(Model!$I$7-$BX$6)*Model!$E$32),0))*Model!$E$33</f>
        <v>0</v>
      </c>
      <c r="AS25" s="82">
        <f ca="1">(MAX(SUM($C$14:AS14)-MAX(((((Model!$I$7-$BX$6)*(Model!$E$33-Model!$D$33))+(((Model!$I$7-$BX$6)*Model!$E$32)*(Model!$D$33-Model!$E$34)))/(Model!$E$33-Model!$E$34)),(Model!$I$7-$BX$6)*Model!$E$32),0)-MAX(SUM($C$14:AR14)-MAX(((((Model!$I$7-$BX$6)*(Model!$E$33-Model!$D$33))+(((Model!$I$7-$BX$6)*Model!$E$32)*(Model!$D$33-Model!$E$34)))/(Model!$E$33-Model!$E$34)),(Model!$I$7-$BX$6)*Model!$E$32),0))*Model!$E$33</f>
        <v>0</v>
      </c>
      <c r="AT25" s="82">
        <f ca="1">(MAX(SUM($C$14:AT14)-MAX(((((Model!$I$7-$BX$6)*(Model!$E$33-Model!$D$33))+(((Model!$I$7-$BX$6)*Model!$E$32)*(Model!$D$33-Model!$E$34)))/(Model!$E$33-Model!$E$34)),(Model!$I$7-$BX$6)*Model!$E$32),0)-MAX(SUM($C$14:AS14)-MAX(((((Model!$I$7-$BX$6)*(Model!$E$33-Model!$D$33))+(((Model!$I$7-$BX$6)*Model!$E$32)*(Model!$D$33-Model!$E$34)))/(Model!$E$33-Model!$E$34)),(Model!$I$7-$BX$6)*Model!$E$32),0))*Model!$E$33</f>
        <v>17762556.535014279</v>
      </c>
      <c r="AU25" s="82">
        <f ca="1">(MAX(SUM($C$14:AU14)-MAX(((((Model!$I$7-$BX$6)*(Model!$E$33-Model!$D$33))+(((Model!$I$7-$BX$6)*Model!$E$32)*(Model!$D$33-Model!$E$34)))/(Model!$E$33-Model!$E$34)),(Model!$I$7-$BX$6)*Model!$E$32),0)-MAX(SUM($C$14:AT14)-MAX(((((Model!$I$7-$BX$6)*(Model!$E$33-Model!$D$33))+(((Model!$I$7-$BX$6)*Model!$E$32)*(Model!$D$33-Model!$E$34)))/(Model!$E$33-Model!$E$34)),(Model!$I$7-$BX$6)*Model!$E$32),0))*Model!$E$33</f>
        <v>0</v>
      </c>
      <c r="AV25" s="82">
        <f ca="1">(MAX(SUM($C$14:AV14)-MAX(((((Model!$I$7-$BX$6)*(Model!$E$33-Model!$D$33))+(((Model!$I$7-$BX$6)*Model!$E$32)*(Model!$D$33-Model!$E$34)))/(Model!$E$33-Model!$E$34)),(Model!$I$7-$BX$6)*Model!$E$32),0)-MAX(SUM($C$14:AU14)-MAX(((((Model!$I$7-$BX$6)*(Model!$E$33-Model!$D$33))+(((Model!$I$7-$BX$6)*Model!$E$32)*(Model!$D$33-Model!$E$34)))/(Model!$E$33-Model!$E$34)),(Model!$I$7-$BX$6)*Model!$E$32),0))*Model!$E$33</f>
        <v>0</v>
      </c>
      <c r="AW25" s="82">
        <f ca="1">(MAX(SUM($C$14:AW14)-MAX(((((Model!$I$7-$BX$6)*(Model!$E$33-Model!$D$33))+(((Model!$I$7-$BX$6)*Model!$E$32)*(Model!$D$33-Model!$E$34)))/(Model!$E$33-Model!$E$34)),(Model!$I$7-$BX$6)*Model!$E$32),0)-MAX(SUM($C$14:AV14)-MAX(((((Model!$I$7-$BX$6)*(Model!$E$33-Model!$D$33))+(((Model!$I$7-$BX$6)*Model!$E$32)*(Model!$D$33-Model!$E$34)))/(Model!$E$33-Model!$E$34)),(Model!$I$7-$BX$6)*Model!$E$32),0))*Model!$E$33</f>
        <v>0</v>
      </c>
      <c r="AX25" s="82">
        <f ca="1">(MAX(SUM($C$14:AX14)-MAX(((((Model!$I$7-$BX$6)*(Model!$E$33-Model!$D$33))+(((Model!$I$7-$BX$6)*Model!$E$32)*(Model!$D$33-Model!$E$34)))/(Model!$E$33-Model!$E$34)),(Model!$I$7-$BX$6)*Model!$E$32),0)-MAX(SUM($C$14:AW14)-MAX(((((Model!$I$7-$BX$6)*(Model!$E$33-Model!$D$33))+(((Model!$I$7-$BX$6)*Model!$E$32)*(Model!$D$33-Model!$E$34)))/(Model!$E$33-Model!$E$34)),(Model!$I$7-$BX$6)*Model!$E$32),0))*Model!$E$33</f>
        <v>0</v>
      </c>
      <c r="AY25" s="82">
        <f ca="1">(MAX(SUM($C$14:AY14)-MAX(((((Model!$I$7-$BX$6)*(Model!$E$33-Model!$D$33))+(((Model!$I$7-$BX$6)*Model!$E$32)*(Model!$D$33-Model!$E$34)))/(Model!$E$33-Model!$E$34)),(Model!$I$7-$BX$6)*Model!$E$32),0)-MAX(SUM($C$14:AX14)-MAX(((((Model!$I$7-$BX$6)*(Model!$E$33-Model!$D$33))+(((Model!$I$7-$BX$6)*Model!$E$32)*(Model!$D$33-Model!$E$34)))/(Model!$E$33-Model!$E$34)),(Model!$I$7-$BX$6)*Model!$E$32),0))*Model!$E$33</f>
        <v>0</v>
      </c>
      <c r="AZ25" s="82">
        <f ca="1">(MAX(SUM($C$14:AZ14)-MAX(((((Model!$I$7-$BX$6)*(Model!$E$33-Model!$D$33))+(((Model!$I$7-$BX$6)*Model!$E$32)*(Model!$D$33-Model!$E$34)))/(Model!$E$33-Model!$E$34)),(Model!$I$7-$BX$6)*Model!$E$32),0)-MAX(SUM($C$14:AY14)-MAX(((((Model!$I$7-$BX$6)*(Model!$E$33-Model!$D$33))+(((Model!$I$7-$BX$6)*Model!$E$32)*(Model!$D$33-Model!$E$34)))/(Model!$E$33-Model!$E$34)),(Model!$I$7-$BX$6)*Model!$E$32),0))*Model!$E$33</f>
        <v>48402966.557913914</v>
      </c>
      <c r="BA25" s="82">
        <f ca="1">(MAX(SUM($C$14:BA14)-MAX(((((Model!$I$7-$BX$6)*(Model!$E$33-Model!$D$33))+(((Model!$I$7-$BX$6)*Model!$E$32)*(Model!$D$33-Model!$E$34)))/(Model!$E$33-Model!$E$34)),(Model!$I$7-$BX$6)*Model!$E$32),0)-MAX(SUM($C$14:AZ14)-MAX(((((Model!$I$7-$BX$6)*(Model!$E$33-Model!$D$33))+(((Model!$I$7-$BX$6)*Model!$E$32)*(Model!$D$33-Model!$E$34)))/(Model!$E$33-Model!$E$34)),(Model!$I$7-$BX$6)*Model!$E$32),0))*Model!$E$33</f>
        <v>0</v>
      </c>
      <c r="BB25" s="82">
        <f ca="1">(MAX(SUM($C$14:BB14)-MAX(((((Model!$I$7-$BX$6)*(Model!$E$33-Model!$D$33))+(((Model!$I$7-$BX$6)*Model!$E$32)*(Model!$D$33-Model!$E$34)))/(Model!$E$33-Model!$E$34)),(Model!$I$7-$BX$6)*Model!$E$32),0)-MAX(SUM($C$14:BA14)-MAX(((((Model!$I$7-$BX$6)*(Model!$E$33-Model!$D$33))+(((Model!$I$7-$BX$6)*Model!$E$32)*(Model!$D$33-Model!$E$34)))/(Model!$E$33-Model!$E$34)),(Model!$I$7-$BX$6)*Model!$E$32),0))*Model!$E$33</f>
        <v>2264346.9762631776</v>
      </c>
      <c r="BC25" s="82">
        <f ca="1">(MAX(SUM($C$14:BC14)-MAX(((((Model!$I$7-$BX$6)*(Model!$E$33-Model!$D$33))+(((Model!$I$7-$BX$6)*Model!$E$32)*(Model!$D$33-Model!$E$34)))/(Model!$E$33-Model!$E$34)),(Model!$I$7-$BX$6)*Model!$E$32),0)-MAX(SUM($C$14:BB14)-MAX(((((Model!$I$7-$BX$6)*(Model!$E$33-Model!$D$33))+(((Model!$I$7-$BX$6)*Model!$E$32)*(Model!$D$33-Model!$E$34)))/(Model!$E$33-Model!$E$34)),(Model!$I$7-$BX$6)*Model!$E$32),0))*Model!$E$33</f>
        <v>0</v>
      </c>
      <c r="BD25" s="82">
        <f ca="1">(MAX(SUM($C$14:BD14)-MAX(((((Model!$I$7-$BX$6)*(Model!$E$33-Model!$D$33))+(((Model!$I$7-$BX$6)*Model!$E$32)*(Model!$D$33-Model!$E$34)))/(Model!$E$33-Model!$E$34)),(Model!$I$7-$BX$6)*Model!$E$32),0)-MAX(SUM($C$14:BC14)-MAX(((((Model!$I$7-$BX$6)*(Model!$E$33-Model!$D$33))+(((Model!$I$7-$BX$6)*Model!$E$32)*(Model!$D$33-Model!$E$34)))/(Model!$E$33-Model!$E$34)),(Model!$I$7-$BX$6)*Model!$E$32),0))*Model!$E$33</f>
        <v>0</v>
      </c>
      <c r="BE25" s="82">
        <f ca="1">(MAX(SUM($C$14:BE14)-MAX(((((Model!$I$7-$BX$6)*(Model!$E$33-Model!$D$33))+(((Model!$I$7-$BX$6)*Model!$E$32)*(Model!$D$33-Model!$E$34)))/(Model!$E$33-Model!$E$34)),(Model!$I$7-$BX$6)*Model!$E$32),0)-MAX(SUM($C$14:BD14)-MAX(((((Model!$I$7-$BX$6)*(Model!$E$33-Model!$D$33))+(((Model!$I$7-$BX$6)*Model!$E$32)*(Model!$D$33-Model!$E$34)))/(Model!$E$33-Model!$E$34)),(Model!$I$7-$BX$6)*Model!$E$32),0))*Model!$E$33</f>
        <v>0</v>
      </c>
      <c r="BF25" s="82">
        <f ca="1">(MAX(SUM($C$14:BF14)-MAX(((((Model!$I$7-$BX$6)*(Model!$E$33-Model!$D$33))+(((Model!$I$7-$BX$6)*Model!$E$32)*(Model!$D$33-Model!$E$34)))/(Model!$E$33-Model!$E$34)),(Model!$I$7-$BX$6)*Model!$E$32),0)-MAX(SUM($C$14:BE14)-MAX(((((Model!$I$7-$BX$6)*(Model!$E$33-Model!$D$33))+(((Model!$I$7-$BX$6)*Model!$E$32)*(Model!$D$33-Model!$E$34)))/(Model!$E$33-Model!$E$34)),(Model!$I$7-$BX$6)*Model!$E$32),0))*Model!$E$33</f>
        <v>0</v>
      </c>
      <c r="BG25" s="82">
        <f ca="1">(MAX(SUM($C$14:BG14)-MAX(((((Model!$I$7-$BX$6)*(Model!$E$33-Model!$D$33))+(((Model!$I$7-$BX$6)*Model!$E$32)*(Model!$D$33-Model!$E$34)))/(Model!$E$33-Model!$E$34)),(Model!$I$7-$BX$6)*Model!$E$32),0)-MAX(SUM($C$14:BF14)-MAX(((((Model!$I$7-$BX$6)*(Model!$E$33-Model!$D$33))+(((Model!$I$7-$BX$6)*Model!$E$32)*(Model!$D$33-Model!$E$34)))/(Model!$E$33-Model!$E$34)),(Model!$I$7-$BX$6)*Model!$E$32),0))*Model!$E$33</f>
        <v>0</v>
      </c>
      <c r="BH25" s="82">
        <f ca="1">(MAX(SUM($C$14:BH14)-MAX(((((Model!$I$7-$BX$6)*(Model!$E$33-Model!$D$33))+(((Model!$I$7-$BX$6)*Model!$E$32)*(Model!$D$33-Model!$E$34)))/(Model!$E$33-Model!$E$34)),(Model!$I$7-$BX$6)*Model!$E$32),0)-MAX(SUM($C$14:BG14)-MAX(((((Model!$I$7-$BX$6)*(Model!$E$33-Model!$D$33))+(((Model!$I$7-$BX$6)*Model!$E$32)*(Model!$D$33-Model!$E$34)))/(Model!$E$33-Model!$E$34)),(Model!$I$7-$BX$6)*Model!$E$32),0))*Model!$E$33</f>
        <v>0</v>
      </c>
      <c r="BI25" s="82">
        <f ca="1">(MAX(SUM($C$14:BI14)-MAX(((((Model!$I$7-$BX$6)*(Model!$E$33-Model!$D$33))+(((Model!$I$7-$BX$6)*Model!$E$32)*(Model!$D$33-Model!$E$34)))/(Model!$E$33-Model!$E$34)),(Model!$I$7-$BX$6)*Model!$E$32),0)-MAX(SUM($C$14:BH14)-MAX(((((Model!$I$7-$BX$6)*(Model!$E$33-Model!$D$33))+(((Model!$I$7-$BX$6)*Model!$E$32)*(Model!$D$33-Model!$E$34)))/(Model!$E$33-Model!$E$34)),(Model!$I$7-$BX$6)*Model!$E$32),0))*Model!$E$33</f>
        <v>0</v>
      </c>
      <c r="BJ25" s="82">
        <f ca="1">(MAX(SUM($C$14:BJ14)-MAX(((((Model!$I$7-$BX$6)*(Model!$E$33-Model!$D$33))+(((Model!$I$7-$BX$6)*Model!$E$32)*(Model!$D$33-Model!$E$34)))/(Model!$E$33-Model!$E$34)),(Model!$I$7-$BX$6)*Model!$E$32),0)-MAX(SUM($C$14:BI14)-MAX(((((Model!$I$7-$BX$6)*(Model!$E$33-Model!$D$33))+(((Model!$I$7-$BX$6)*Model!$E$32)*(Model!$D$33-Model!$E$34)))/(Model!$E$33-Model!$E$34)),(Model!$I$7-$BX$6)*Model!$E$32),0))*Model!$E$33</f>
        <v>0</v>
      </c>
      <c r="BK25" s="82">
        <f ca="1">(MAX(SUM($C$14:BK14)-MAX(((((Model!$I$7-$BX$6)*(Model!$E$33-Model!$D$33))+(((Model!$I$7-$BX$6)*Model!$E$32)*(Model!$D$33-Model!$E$34)))/(Model!$E$33-Model!$E$34)),(Model!$I$7-$BX$6)*Model!$E$32),0)-MAX(SUM($C$14:BJ14)-MAX(((((Model!$I$7-$BX$6)*(Model!$E$33-Model!$D$33))+(((Model!$I$7-$BX$6)*Model!$E$32)*(Model!$D$33-Model!$E$34)))/(Model!$E$33-Model!$E$34)),(Model!$I$7-$BX$6)*Model!$E$32),0))*Model!$E$33</f>
        <v>0</v>
      </c>
      <c r="BL25" s="82">
        <f ca="1">(MAX(SUM($C$14:BL14)-MAX(((((Model!$I$7-$BX$6)*(Model!$E$33-Model!$D$33))+(((Model!$I$7-$BX$6)*Model!$E$32)*(Model!$D$33-Model!$E$34)))/(Model!$E$33-Model!$E$34)),(Model!$I$7-$BX$6)*Model!$E$32),0)-MAX(SUM($C$14:BK14)-MAX(((((Model!$I$7-$BX$6)*(Model!$E$33-Model!$D$33))+(((Model!$I$7-$BX$6)*Model!$E$32)*(Model!$D$33-Model!$E$34)))/(Model!$E$33-Model!$E$34)),(Model!$I$7-$BX$6)*Model!$E$32),0))*Model!$E$33</f>
        <v>0</v>
      </c>
      <c r="BM25" s="82">
        <f ca="1">(MAX(SUM($C$14:BM14)-MAX(((((Model!$I$7-$BX$6)*(Model!$E$33-Model!$D$33))+(((Model!$I$7-$BX$6)*Model!$E$32)*(Model!$D$33-Model!$E$34)))/(Model!$E$33-Model!$E$34)),(Model!$I$7-$BX$6)*Model!$E$32),0)-MAX(SUM($C$14:BL14)-MAX(((((Model!$I$7-$BX$6)*(Model!$E$33-Model!$D$33))+(((Model!$I$7-$BX$6)*Model!$E$32)*(Model!$D$33-Model!$E$34)))/(Model!$E$33-Model!$E$34)),(Model!$I$7-$BX$6)*Model!$E$32),0))*Model!$E$33</f>
        <v>0</v>
      </c>
      <c r="BN25" s="82">
        <f ca="1">(MAX(SUM($C$14:BN14)-MAX(((((Model!$I$7-$BX$6)*(Model!$E$33-Model!$D$33))+(((Model!$I$7-$BX$6)*Model!$E$32)*(Model!$D$33-Model!$E$34)))/(Model!$E$33-Model!$E$34)),(Model!$I$7-$BX$6)*Model!$E$32),0)-MAX(SUM($C$14:BM14)-MAX(((((Model!$I$7-$BX$6)*(Model!$E$33-Model!$D$33))+(((Model!$I$7-$BX$6)*Model!$E$32)*(Model!$D$33-Model!$E$34)))/(Model!$E$33-Model!$E$34)),(Model!$I$7-$BX$6)*Model!$E$32),0))*Model!$E$33</f>
        <v>0</v>
      </c>
      <c r="BO25" s="82">
        <f ca="1">(MAX(SUM($C$14:BO14)-MAX(((((Model!$I$7-$BX$6)*(Model!$E$33-Model!$D$33))+(((Model!$I$7-$BX$6)*Model!$E$32)*(Model!$D$33-Model!$E$34)))/(Model!$E$33-Model!$E$34)),(Model!$I$7-$BX$6)*Model!$E$32),0)-MAX(SUM($C$14:BN14)-MAX(((((Model!$I$7-$BX$6)*(Model!$E$33-Model!$D$33))+(((Model!$I$7-$BX$6)*Model!$E$32)*(Model!$D$33-Model!$E$34)))/(Model!$E$33-Model!$E$34)),(Model!$I$7-$BX$6)*Model!$E$32),0))*Model!$E$33</f>
        <v>0</v>
      </c>
      <c r="BP25" s="82">
        <f ca="1">(MAX(SUM($C$14:BP14)-MAX(((((Model!$I$7-$BX$6)*(Model!$E$33-Model!$D$33))+(((Model!$I$7-$BX$6)*Model!$E$32)*(Model!$D$33-Model!$E$34)))/(Model!$E$33-Model!$E$34)),(Model!$I$7-$BX$6)*Model!$E$32),0)-MAX(SUM($C$14:BO14)-MAX(((((Model!$I$7-$BX$6)*(Model!$E$33-Model!$D$33))+(((Model!$I$7-$BX$6)*Model!$E$32)*(Model!$D$33-Model!$E$34)))/(Model!$E$33-Model!$E$34)),(Model!$I$7-$BX$6)*Model!$E$32),0))*Model!$E$33</f>
        <v>0</v>
      </c>
      <c r="BQ25" s="82">
        <f ca="1">(MAX(SUM($C$14:BQ14)-MAX(((((Model!$I$7-$BX$6)*(Model!$E$33-Model!$D$33))+(((Model!$I$7-$BX$6)*Model!$E$32)*(Model!$D$33-Model!$E$34)))/(Model!$E$33-Model!$E$34)),(Model!$I$7-$BX$6)*Model!$E$32),0)-MAX(SUM($C$14:BP14)-MAX(((((Model!$I$7-$BX$6)*(Model!$E$33-Model!$D$33))+(((Model!$I$7-$BX$6)*Model!$E$32)*(Model!$D$33-Model!$E$34)))/(Model!$E$33-Model!$E$34)),(Model!$I$7-$BX$6)*Model!$E$32),0))*Model!$E$33</f>
        <v>0</v>
      </c>
      <c r="BR25" s="82">
        <f ca="1">(MAX(SUM($C$14:BR14)-MAX(((((Model!$I$7-$BX$6)*(Model!$E$33-Model!$D$33))+(((Model!$I$7-$BX$6)*Model!$E$32)*(Model!$D$33-Model!$E$34)))/(Model!$E$33-Model!$E$34)),(Model!$I$7-$BX$6)*Model!$E$32),0)-MAX(SUM($C$14:BQ14)-MAX(((((Model!$I$7-$BX$6)*(Model!$E$33-Model!$D$33))+(((Model!$I$7-$BX$6)*Model!$E$32)*(Model!$D$33-Model!$E$34)))/(Model!$E$33-Model!$E$34)),(Model!$I$7-$BX$6)*Model!$E$32),0))*Model!$E$33</f>
        <v>0</v>
      </c>
      <c r="BS25" s="82">
        <f ca="1">(MAX(SUM($C$14:BS14)-MAX(((((Model!$I$7-$BX$6)*(Model!$E$33-Model!$D$33))+(((Model!$I$7-$BX$6)*Model!$E$32)*(Model!$D$33-Model!$E$34)))/(Model!$E$33-Model!$E$34)),(Model!$I$7-$BX$6)*Model!$E$32),0)-MAX(SUM($C$14:BR14)-MAX(((((Model!$I$7-$BX$6)*(Model!$E$33-Model!$D$33))+(((Model!$I$7-$BX$6)*Model!$E$32)*(Model!$D$33-Model!$E$34)))/(Model!$E$33-Model!$E$34)),(Model!$I$7-$BX$6)*Model!$E$32),0))*Model!$E$33</f>
        <v>0</v>
      </c>
      <c r="BT25" s="82">
        <f ca="1">(MAX(SUM($C$14:BT14)-MAX(((((Model!$I$7-$BX$6)*(Model!$E$33-Model!$D$33))+(((Model!$I$7-$BX$6)*Model!$E$32)*(Model!$D$33-Model!$E$34)))/(Model!$E$33-Model!$E$34)),(Model!$I$7-$BX$6)*Model!$E$32),0)-MAX(SUM($C$14:BS14)-MAX(((((Model!$I$7-$BX$6)*(Model!$E$33-Model!$D$33))+(((Model!$I$7-$BX$6)*Model!$E$32)*(Model!$D$33-Model!$E$34)))/(Model!$E$33-Model!$E$34)),(Model!$I$7-$BX$6)*Model!$E$32),0))*Model!$E$33</f>
        <v>0</v>
      </c>
      <c r="BU25" s="82">
        <f ca="1">(MAX(SUM($C$14:BU14)-MAX(((((Model!$I$7-$BX$6)*(Model!$E$33-Model!$D$33))+(((Model!$I$7-$BX$6)*Model!$E$32)*(Model!$D$33-Model!$E$34)))/(Model!$E$33-Model!$E$34)),(Model!$I$7-$BX$6)*Model!$E$32),0)-MAX(SUM($C$14:BT14)-MAX(((((Model!$I$7-$BX$6)*(Model!$E$33-Model!$D$33))+(((Model!$I$7-$BX$6)*Model!$E$32)*(Model!$D$33-Model!$E$34)))/(Model!$E$33-Model!$E$34)),(Model!$I$7-$BX$6)*Model!$E$32),0))*Model!$E$33</f>
        <v>0</v>
      </c>
      <c r="BV25" s="82">
        <f ca="1">(MAX(SUM($C$14:BV14)-MAX(((((Model!$I$7-$BX$6)*(Model!$E$33-Model!$D$33))+(((Model!$I$7-$BX$6)*Model!$E$32)*(Model!$D$33-Model!$E$34)))/(Model!$E$33-Model!$E$34)),(Model!$I$7-$BX$6)*Model!$E$32),0)-MAX(SUM($C$14:BU14)-MAX(((((Model!$I$7-$BX$6)*(Model!$E$33-Model!$D$33))+(((Model!$I$7-$BX$6)*Model!$E$32)*(Model!$D$33-Model!$E$34)))/(Model!$E$33-Model!$E$34)),(Model!$I$7-$BX$6)*Model!$E$32),0))*Model!$E$33</f>
        <v>0</v>
      </c>
      <c r="BW25" s="82">
        <f ca="1">(MAX(SUM($C$14:BW14)-MAX(((((Model!$I$7-$BX$6)*(Model!$E$33-Model!$D$33))+(((Model!$I$7-$BX$6)*Model!$E$32)*(Model!$D$33-Model!$E$34)))/(Model!$E$33-Model!$E$34)),(Model!$I$7-$BX$6)*Model!$E$32),0)-MAX(SUM($C$14:BV14)-MAX(((((Model!$I$7-$BX$6)*(Model!$E$33-Model!$D$33))+(((Model!$I$7-$BX$6)*Model!$E$32)*(Model!$D$33-Model!$E$34)))/(Model!$E$33-Model!$E$34)),(Model!$I$7-$BX$6)*Model!$E$32),0))*Model!$E$33</f>
        <v>0</v>
      </c>
      <c r="BX25" s="155">
        <f ca="1">SUM(C25:BW25)</f>
        <v>85487638.3363702</v>
      </c>
    </row>
    <row r="26" spans="1:76" x14ac:dyDescent="0.25">
      <c r="C26" s="79"/>
      <c r="D26" s="79"/>
      <c r="E26" s="79"/>
      <c r="F26" s="79"/>
      <c r="G26" s="79"/>
      <c r="H26" s="79"/>
      <c r="I26" s="79"/>
      <c r="J26" s="79"/>
      <c r="K26" s="79"/>
      <c r="L26" s="79"/>
      <c r="M26" s="79"/>
      <c r="N26" s="79"/>
      <c r="O26" s="79"/>
      <c r="P26" s="79"/>
      <c r="Q26" s="79"/>
      <c r="R26" s="79"/>
      <c r="S26" s="79"/>
      <c r="T26" s="79"/>
      <c r="U26" s="79"/>
      <c r="V26" s="79"/>
      <c r="W26" s="79"/>
      <c r="X26" s="79"/>
      <c r="Y26" s="79"/>
      <c r="Z26" s="79"/>
      <c r="AA26" s="79"/>
      <c r="AB26" s="79"/>
      <c r="AC26" s="79"/>
      <c r="AD26" s="79"/>
      <c r="AE26" s="79"/>
      <c r="AF26" s="79"/>
      <c r="AG26" s="79"/>
      <c r="AH26" s="79"/>
      <c r="AI26" s="79"/>
      <c r="AJ26" s="79"/>
      <c r="AK26" s="79"/>
      <c r="AL26" s="79"/>
      <c r="AM26" s="79"/>
      <c r="AN26" s="79"/>
      <c r="AO26" s="79"/>
      <c r="AP26" s="79"/>
      <c r="AQ26" s="79"/>
      <c r="AR26" s="79"/>
      <c r="AS26" s="79"/>
      <c r="AT26" s="79"/>
      <c r="AU26" s="79"/>
      <c r="AV26" s="79"/>
      <c r="AW26" s="79"/>
      <c r="AX26" s="79"/>
      <c r="AY26" s="79"/>
      <c r="AZ26" s="79"/>
      <c r="BA26" s="79"/>
      <c r="BB26" s="79"/>
      <c r="BC26" s="79"/>
      <c r="BD26" s="79"/>
      <c r="BE26" s="79"/>
      <c r="BF26" s="79"/>
      <c r="BG26" s="79"/>
      <c r="BH26" s="79"/>
      <c r="BI26" s="79"/>
      <c r="BJ26" s="79"/>
      <c r="BK26" s="79"/>
      <c r="BL26" s="79"/>
      <c r="BM26" s="79"/>
      <c r="BN26" s="79"/>
      <c r="BO26" s="79"/>
      <c r="BP26" s="79"/>
      <c r="BQ26" s="79"/>
      <c r="BR26" s="79"/>
      <c r="BS26" s="79"/>
      <c r="BT26" s="79"/>
      <c r="BU26" s="79"/>
      <c r="BV26" s="79"/>
      <c r="BW26" s="79"/>
      <c r="BX26" s="153"/>
    </row>
    <row r="27" spans="1:76" x14ac:dyDescent="0.25">
      <c r="B27" t="s">
        <v>42</v>
      </c>
      <c r="C27" s="96"/>
      <c r="D27" s="96" t="str">
        <f t="shared" ref="D27:AI27" ca="1" si="47">IFERROR(D13/D14,"")</f>
        <v/>
      </c>
      <c r="E27" s="96" t="str">
        <f t="shared" ca="1" si="47"/>
        <v/>
      </c>
      <c r="F27" s="96" t="str">
        <f t="shared" ca="1" si="47"/>
        <v/>
      </c>
      <c r="G27" s="96" t="str">
        <f t="shared" ca="1" si="47"/>
        <v/>
      </c>
      <c r="H27" s="96" t="str">
        <f t="shared" ca="1" si="47"/>
        <v/>
      </c>
      <c r="I27" s="96" t="str">
        <f t="shared" ca="1" si="47"/>
        <v/>
      </c>
      <c r="J27" s="96" t="str">
        <f t="shared" ca="1" si="47"/>
        <v/>
      </c>
      <c r="K27" s="96" t="str">
        <f t="shared" ca="1" si="47"/>
        <v/>
      </c>
      <c r="L27" s="96" t="str">
        <f t="shared" ca="1" si="47"/>
        <v/>
      </c>
      <c r="M27" s="96" t="str">
        <f t="shared" ca="1" si="47"/>
        <v/>
      </c>
      <c r="N27" s="96" t="str">
        <f t="shared" ca="1" si="47"/>
        <v/>
      </c>
      <c r="O27" s="96" t="str">
        <f t="shared" ca="1" si="47"/>
        <v/>
      </c>
      <c r="P27" s="96" t="str">
        <f t="shared" ca="1" si="47"/>
        <v/>
      </c>
      <c r="Q27" s="96" t="str">
        <f t="shared" ca="1" si="47"/>
        <v/>
      </c>
      <c r="R27" s="96" t="str">
        <f t="shared" ca="1" si="47"/>
        <v/>
      </c>
      <c r="S27" s="96" t="str">
        <f t="shared" ca="1" si="47"/>
        <v/>
      </c>
      <c r="T27" s="96" t="str">
        <f t="shared" ca="1" si="47"/>
        <v/>
      </c>
      <c r="U27" s="96" t="str">
        <f t="shared" ca="1" si="47"/>
        <v/>
      </c>
      <c r="V27" s="96" t="str">
        <f t="shared" ca="1" si="47"/>
        <v/>
      </c>
      <c r="W27" s="96" t="str">
        <f t="shared" ca="1" si="47"/>
        <v/>
      </c>
      <c r="X27" s="96" t="str">
        <f t="shared" ca="1" si="47"/>
        <v/>
      </c>
      <c r="Y27" s="96" t="str">
        <f t="shared" ca="1" si="47"/>
        <v/>
      </c>
      <c r="Z27" s="96">
        <f t="shared" ca="1" si="47"/>
        <v>1</v>
      </c>
      <c r="AA27" s="96">
        <f t="shared" ca="1" si="47"/>
        <v>1</v>
      </c>
      <c r="AB27" s="96" t="str">
        <f t="shared" ca="1" si="47"/>
        <v/>
      </c>
      <c r="AC27" s="96" t="str">
        <f t="shared" ca="1" si="47"/>
        <v/>
      </c>
      <c r="AD27" s="96">
        <f t="shared" ca="1" si="47"/>
        <v>1</v>
      </c>
      <c r="AE27" s="96">
        <f t="shared" ca="1" si="47"/>
        <v>1</v>
      </c>
      <c r="AF27" s="96">
        <f t="shared" ca="1" si="47"/>
        <v>1</v>
      </c>
      <c r="AG27" s="96" t="str">
        <f t="shared" ca="1" si="47"/>
        <v/>
      </c>
      <c r="AH27" s="96">
        <f t="shared" ca="1" si="47"/>
        <v>0.94459208177735021</v>
      </c>
      <c r="AI27" s="96">
        <f t="shared" ca="1" si="47"/>
        <v>0.8</v>
      </c>
      <c r="AJ27" s="96" t="str">
        <f t="shared" ref="AJ27:BO27" ca="1" si="48">IFERROR(AJ13/AJ14,"")</f>
        <v/>
      </c>
      <c r="AK27" s="96" t="str">
        <f t="shared" ca="1" si="48"/>
        <v/>
      </c>
      <c r="AL27" s="96" t="str">
        <f t="shared" ca="1" si="48"/>
        <v/>
      </c>
      <c r="AM27" s="96" t="str">
        <f t="shared" ca="1" si="48"/>
        <v/>
      </c>
      <c r="AN27" s="96" t="str">
        <f t="shared" ca="1" si="48"/>
        <v/>
      </c>
      <c r="AO27" s="96" t="str">
        <f t="shared" ca="1" si="48"/>
        <v/>
      </c>
      <c r="AP27" s="96" t="str">
        <f t="shared" ca="1" si="48"/>
        <v/>
      </c>
      <c r="AQ27" s="96" t="str">
        <f t="shared" ca="1" si="48"/>
        <v/>
      </c>
      <c r="AR27" s="96" t="str">
        <f t="shared" ca="1" si="48"/>
        <v/>
      </c>
      <c r="AS27" s="96" t="str">
        <f t="shared" ca="1" si="48"/>
        <v/>
      </c>
      <c r="AT27" s="96">
        <f t="shared" ca="1" si="48"/>
        <v>0.79999999999999993</v>
      </c>
      <c r="AU27" s="96" t="str">
        <f t="shared" ca="1" si="48"/>
        <v/>
      </c>
      <c r="AV27" s="96" t="str">
        <f t="shared" ca="1" si="48"/>
        <v/>
      </c>
      <c r="AW27" s="96" t="str">
        <f t="shared" ca="1" si="48"/>
        <v/>
      </c>
      <c r="AX27" s="96" t="str">
        <f t="shared" ca="1" si="48"/>
        <v/>
      </c>
      <c r="AY27" s="96" t="str">
        <f t="shared" ca="1" si="48"/>
        <v/>
      </c>
      <c r="AZ27" s="96">
        <f t="shared" ca="1" si="48"/>
        <v>0.79999999999999993</v>
      </c>
      <c r="BA27" s="96" t="str">
        <f t="shared" ca="1" si="48"/>
        <v/>
      </c>
      <c r="BB27" s="96">
        <f t="shared" ca="1" si="48"/>
        <v>0.79999999999999949</v>
      </c>
      <c r="BC27" s="96" t="str">
        <f t="shared" ca="1" si="48"/>
        <v/>
      </c>
      <c r="BD27" s="96" t="str">
        <f t="shared" ca="1" si="48"/>
        <v/>
      </c>
      <c r="BE27" s="96" t="str">
        <f t="shared" ca="1" si="48"/>
        <v/>
      </c>
      <c r="BF27" s="96" t="str">
        <f t="shared" ca="1" si="48"/>
        <v/>
      </c>
      <c r="BG27" s="96" t="str">
        <f t="shared" ca="1" si="48"/>
        <v/>
      </c>
      <c r="BH27" s="96" t="str">
        <f t="shared" ca="1" si="48"/>
        <v/>
      </c>
      <c r="BI27" s="96" t="str">
        <f t="shared" ca="1" si="48"/>
        <v/>
      </c>
      <c r="BJ27" s="96" t="str">
        <f t="shared" ca="1" si="48"/>
        <v/>
      </c>
      <c r="BK27" s="96" t="str">
        <f t="shared" ca="1" si="48"/>
        <v/>
      </c>
      <c r="BL27" s="96" t="str">
        <f t="shared" ca="1" si="48"/>
        <v/>
      </c>
      <c r="BM27" s="96" t="str">
        <f t="shared" ca="1" si="48"/>
        <v/>
      </c>
      <c r="BN27" s="96" t="str">
        <f t="shared" ca="1" si="48"/>
        <v/>
      </c>
      <c r="BO27" s="96" t="str">
        <f t="shared" ca="1" si="48"/>
        <v/>
      </c>
      <c r="BP27" s="96" t="str">
        <f t="shared" ref="BP27:BW27" ca="1" si="49">IFERROR(BP13/BP14,"")</f>
        <v/>
      </c>
      <c r="BQ27" s="96" t="str">
        <f t="shared" ca="1" si="49"/>
        <v/>
      </c>
      <c r="BR27" s="96" t="str">
        <f t="shared" ca="1" si="49"/>
        <v/>
      </c>
      <c r="BS27" s="96" t="str">
        <f t="shared" ca="1" si="49"/>
        <v/>
      </c>
      <c r="BT27" s="96" t="str">
        <f t="shared" ca="1" si="49"/>
        <v/>
      </c>
      <c r="BU27" s="96" t="str">
        <f t="shared" ca="1" si="49"/>
        <v/>
      </c>
      <c r="BV27" s="96" t="str">
        <f t="shared" ca="1" si="49"/>
        <v/>
      </c>
      <c r="BW27" s="96" t="str">
        <f t="shared" ca="1" si="49"/>
        <v/>
      </c>
      <c r="BX27" s="158"/>
    </row>
    <row r="28" spans="1:76" x14ac:dyDescent="0.25">
      <c r="B28" t="s">
        <v>43</v>
      </c>
      <c r="C28" s="96"/>
      <c r="D28" s="96" t="str">
        <f t="shared" ref="D28:AI28" ca="1" si="50">IFERROR(D22/D14,"")</f>
        <v/>
      </c>
      <c r="E28" s="96" t="str">
        <f t="shared" ca="1" si="50"/>
        <v/>
      </c>
      <c r="F28" s="96" t="str">
        <f t="shared" ca="1" si="50"/>
        <v/>
      </c>
      <c r="G28" s="96" t="str">
        <f t="shared" ca="1" si="50"/>
        <v/>
      </c>
      <c r="H28" s="96" t="str">
        <f t="shared" ca="1" si="50"/>
        <v/>
      </c>
      <c r="I28" s="96" t="str">
        <f t="shared" ca="1" si="50"/>
        <v/>
      </c>
      <c r="J28" s="96" t="str">
        <f t="shared" ca="1" si="50"/>
        <v/>
      </c>
      <c r="K28" s="96" t="str">
        <f t="shared" ca="1" si="50"/>
        <v/>
      </c>
      <c r="L28" s="96" t="str">
        <f t="shared" ca="1" si="50"/>
        <v/>
      </c>
      <c r="M28" s="96" t="str">
        <f t="shared" ca="1" si="50"/>
        <v/>
      </c>
      <c r="N28" s="96" t="str">
        <f t="shared" ca="1" si="50"/>
        <v/>
      </c>
      <c r="O28" s="96" t="str">
        <f t="shared" ca="1" si="50"/>
        <v/>
      </c>
      <c r="P28" s="96" t="str">
        <f t="shared" ca="1" si="50"/>
        <v/>
      </c>
      <c r="Q28" s="96" t="str">
        <f t="shared" ca="1" si="50"/>
        <v/>
      </c>
      <c r="R28" s="96" t="str">
        <f t="shared" ca="1" si="50"/>
        <v/>
      </c>
      <c r="S28" s="96" t="str">
        <f t="shared" ca="1" si="50"/>
        <v/>
      </c>
      <c r="T28" s="96" t="str">
        <f t="shared" ca="1" si="50"/>
        <v/>
      </c>
      <c r="U28" s="96" t="str">
        <f t="shared" ca="1" si="50"/>
        <v/>
      </c>
      <c r="V28" s="96" t="str">
        <f t="shared" ca="1" si="50"/>
        <v/>
      </c>
      <c r="W28" s="96" t="str">
        <f t="shared" ca="1" si="50"/>
        <v/>
      </c>
      <c r="X28" s="96" t="str">
        <f t="shared" ca="1" si="50"/>
        <v/>
      </c>
      <c r="Y28" s="96" t="str">
        <f t="shared" ca="1" si="50"/>
        <v/>
      </c>
      <c r="Z28" s="96">
        <f t="shared" ca="1" si="50"/>
        <v>0</v>
      </c>
      <c r="AA28" s="96">
        <f t="shared" ca="1" si="50"/>
        <v>0</v>
      </c>
      <c r="AB28" s="96" t="str">
        <f t="shared" ca="1" si="50"/>
        <v/>
      </c>
      <c r="AC28" s="96" t="str">
        <f t="shared" ca="1" si="50"/>
        <v/>
      </c>
      <c r="AD28" s="96">
        <f t="shared" ca="1" si="50"/>
        <v>0</v>
      </c>
      <c r="AE28" s="96">
        <f t="shared" ca="1" si="50"/>
        <v>0</v>
      </c>
      <c r="AF28" s="96">
        <f t="shared" ca="1" si="50"/>
        <v>0</v>
      </c>
      <c r="AG28" s="96" t="str">
        <f t="shared" ca="1" si="50"/>
        <v/>
      </c>
      <c r="AH28" s="96">
        <f t="shared" ca="1" si="50"/>
        <v>5.5407918222649816E-2</v>
      </c>
      <c r="AI28" s="96">
        <f t="shared" ca="1" si="50"/>
        <v>0.2</v>
      </c>
      <c r="AJ28" s="96" t="str">
        <f t="shared" ref="AJ28:BO28" ca="1" si="51">IFERROR(AJ22/AJ14,"")</f>
        <v/>
      </c>
      <c r="AK28" s="96" t="str">
        <f t="shared" ca="1" si="51"/>
        <v/>
      </c>
      <c r="AL28" s="96" t="str">
        <f t="shared" ca="1" si="51"/>
        <v/>
      </c>
      <c r="AM28" s="96" t="str">
        <f t="shared" ca="1" si="51"/>
        <v/>
      </c>
      <c r="AN28" s="96" t="str">
        <f t="shared" ca="1" si="51"/>
        <v/>
      </c>
      <c r="AO28" s="96" t="str">
        <f t="shared" ca="1" si="51"/>
        <v/>
      </c>
      <c r="AP28" s="96" t="str">
        <f t="shared" ca="1" si="51"/>
        <v/>
      </c>
      <c r="AQ28" s="96" t="str">
        <f t="shared" ca="1" si="51"/>
        <v/>
      </c>
      <c r="AR28" s="96" t="str">
        <f t="shared" ca="1" si="51"/>
        <v/>
      </c>
      <c r="AS28" s="96" t="str">
        <f t="shared" ca="1" si="51"/>
        <v/>
      </c>
      <c r="AT28" s="96">
        <f t="shared" ca="1" si="51"/>
        <v>0.19999999999999998</v>
      </c>
      <c r="AU28" s="96" t="str">
        <f t="shared" ca="1" si="51"/>
        <v/>
      </c>
      <c r="AV28" s="96" t="str">
        <f t="shared" ca="1" si="51"/>
        <v/>
      </c>
      <c r="AW28" s="96" t="str">
        <f t="shared" ca="1" si="51"/>
        <v/>
      </c>
      <c r="AX28" s="96" t="str">
        <f t="shared" ca="1" si="51"/>
        <v/>
      </c>
      <c r="AY28" s="96" t="str">
        <f t="shared" ca="1" si="51"/>
        <v/>
      </c>
      <c r="AZ28" s="96">
        <f t="shared" ca="1" si="51"/>
        <v>0.19999999999999998</v>
      </c>
      <c r="BA28" s="96" t="str">
        <f t="shared" ca="1" si="51"/>
        <v/>
      </c>
      <c r="BB28" s="96">
        <f t="shared" ca="1" si="51"/>
        <v>0.20000000000000046</v>
      </c>
      <c r="BC28" s="96" t="str">
        <f t="shared" ca="1" si="51"/>
        <v/>
      </c>
      <c r="BD28" s="96" t="str">
        <f t="shared" ca="1" si="51"/>
        <v/>
      </c>
      <c r="BE28" s="96" t="str">
        <f t="shared" ca="1" si="51"/>
        <v/>
      </c>
      <c r="BF28" s="96" t="str">
        <f t="shared" ca="1" si="51"/>
        <v/>
      </c>
      <c r="BG28" s="96" t="str">
        <f t="shared" ca="1" si="51"/>
        <v/>
      </c>
      <c r="BH28" s="96" t="str">
        <f t="shared" ca="1" si="51"/>
        <v/>
      </c>
      <c r="BI28" s="96" t="str">
        <f t="shared" ca="1" si="51"/>
        <v/>
      </c>
      <c r="BJ28" s="96" t="str">
        <f t="shared" ca="1" si="51"/>
        <v/>
      </c>
      <c r="BK28" s="96" t="str">
        <f t="shared" ca="1" si="51"/>
        <v/>
      </c>
      <c r="BL28" s="96" t="str">
        <f t="shared" ca="1" si="51"/>
        <v/>
      </c>
      <c r="BM28" s="96" t="str">
        <f t="shared" ca="1" si="51"/>
        <v/>
      </c>
      <c r="BN28" s="96" t="str">
        <f t="shared" ca="1" si="51"/>
        <v/>
      </c>
      <c r="BO28" s="96" t="str">
        <f t="shared" ca="1" si="51"/>
        <v/>
      </c>
      <c r="BP28" s="96" t="str">
        <f t="shared" ref="BP28:BW28" ca="1" si="52">IFERROR(BP22/BP14,"")</f>
        <v/>
      </c>
      <c r="BQ28" s="96" t="str">
        <f t="shared" ca="1" si="52"/>
        <v/>
      </c>
      <c r="BR28" s="96" t="str">
        <f t="shared" ca="1" si="52"/>
        <v/>
      </c>
      <c r="BS28" s="96" t="str">
        <f t="shared" ca="1" si="52"/>
        <v/>
      </c>
      <c r="BT28" s="96" t="str">
        <f t="shared" ca="1" si="52"/>
        <v/>
      </c>
      <c r="BU28" s="96" t="str">
        <f t="shared" ca="1" si="52"/>
        <v/>
      </c>
      <c r="BV28" s="96" t="str">
        <f t="shared" ca="1" si="52"/>
        <v/>
      </c>
      <c r="BW28" s="96" t="str">
        <f t="shared" ca="1" si="52"/>
        <v/>
      </c>
      <c r="BX28" s="158"/>
    </row>
  </sheetData>
  <phoneticPr fontId="6" type="noConversion"/>
  <pageMargins left="0.7" right="0.7" top="0.75" bottom="0.75" header="0.3" footer="0.3"/>
  <pageSetup orientation="portrait" r:id="rId1"/>
  <headerFooter>
    <oddHeader>&amp;CSVB Capital Tempate</oddHead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Instructions</vt:lpstr>
      <vt:lpstr>Model</vt:lpstr>
      <vt:lpstr>Cash Flows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 Clayton</dc:creator>
  <cp:lastModifiedBy>Dan Clayton</cp:lastModifiedBy>
  <dcterms:created xsi:type="dcterms:W3CDTF">2021-10-04T21:32:38Z</dcterms:created>
  <dcterms:modified xsi:type="dcterms:W3CDTF">2022-03-10T18:49:29Z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0b5c7a-1591-429d-92ca-db7dbe64dd74_Enabled">
    <vt:lpwstr>true</vt:lpwstr>
  </property>
  <property fmtid="{D5CDD505-2E9C-101B-9397-08002B2CF9AE}" pid="3" name="MSIP_Label_610b5c7a-1591-429d-92ca-db7dbe64dd74_SetDate">
    <vt:lpwstr>2021-10-04T23:59:08Z</vt:lpwstr>
  </property>
  <property fmtid="{D5CDD505-2E9C-101B-9397-08002B2CF9AE}" pid="4" name="MSIP_Label_610b5c7a-1591-429d-92ca-db7dbe64dd74_Method">
    <vt:lpwstr>Standard</vt:lpwstr>
  </property>
  <property fmtid="{D5CDD505-2E9C-101B-9397-08002B2CF9AE}" pid="5" name="MSIP_Label_610b5c7a-1591-429d-92ca-db7dbe64dd74_Name">
    <vt:lpwstr>610b5c7a-1591-429d-92ca-db7dbe64dd74</vt:lpwstr>
  </property>
  <property fmtid="{D5CDD505-2E9C-101B-9397-08002B2CF9AE}" pid="6" name="MSIP_Label_610b5c7a-1591-429d-92ca-db7dbe64dd74_SiteId">
    <vt:lpwstr>c5d48277-da06-408e-9d69-7bce38483418</vt:lpwstr>
  </property>
  <property fmtid="{D5CDD505-2E9C-101B-9397-08002B2CF9AE}" pid="7" name="MSIP_Label_610b5c7a-1591-429d-92ca-db7dbe64dd74_ActionId">
    <vt:lpwstr>b7a92890-51c5-46c9-ba00-53b1b5a834b3</vt:lpwstr>
  </property>
  <property fmtid="{D5CDD505-2E9C-101B-9397-08002B2CF9AE}" pid="8" name="MSIP_Label_610b5c7a-1591-429d-92ca-db7dbe64dd74_ContentBits">
    <vt:lpwstr>2</vt:lpwstr>
  </property>
</Properties>
</file>